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120" windowHeight="9120" activeTab="0"/>
  </bookViews>
  <sheets>
    <sheet name="Summary" sheetId="1" r:id="rId1"/>
    <sheet name="VM Analysis" sheetId="2" state="hidden" r:id="rId2"/>
    <sheet name="OM Analysis" sheetId="3" state="hidden" r:id="rId3"/>
  </sheets>
  <definedNames>
    <definedName name="_xlnm.Print_Area" localSheetId="0">'Summary'!$A$1:$F$58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David J. Schanin</author>
  </authors>
  <commentList>
    <comment ref="F4" authorId="0">
      <text>
        <r>
          <rPr>
            <b/>
            <sz val="10"/>
            <rFont val="Tahoma"/>
            <family val="2"/>
          </rPr>
          <t>Enter the average kWh cost here</t>
        </r>
      </text>
    </comment>
    <comment ref="F5" authorId="0">
      <text>
        <r>
          <rPr>
            <b/>
            <sz val="10"/>
            <rFont val="Tahoma"/>
            <family val="2"/>
          </rPr>
          <t>Enter average occupied hours.  Typically this is 60- 80 for a commercial environment, but if savings measurements have already been taken, change these hours until the % Energy Savings matches those recorded</t>
        </r>
      </text>
    </comment>
    <comment ref="F6" authorId="0">
      <text>
        <r>
          <rPr>
            <b/>
            <sz val="10"/>
            <rFont val="Tahoma"/>
            <family val="2"/>
          </rPr>
          <t>Enter the number of refrigerated machines - include any refrigerated candy machines.  NO PRESIHABLE GOODS MACHINES (i.e. Ice Cream, Sandwiches, etc.)</t>
        </r>
      </text>
    </comment>
    <comment ref="F7" authorId="0">
      <text>
        <r>
          <rPr>
            <b/>
            <sz val="10"/>
            <rFont val="Tahoma"/>
            <family val="2"/>
          </rPr>
          <t>Enter the number of non-cooled machines</t>
        </r>
      </text>
    </comment>
    <comment ref="F8" authorId="0">
      <text>
        <r>
          <rPr>
            <b/>
            <sz val="10"/>
            <rFont val="Tahoma"/>
            <family val="2"/>
          </rPr>
          <t>Enter average power consumption of cooled machine.  Measured average for machines with lights is 427 watts - for machines without lights the average is 233 watts</t>
        </r>
      </text>
    </comment>
    <comment ref="F9" authorId="0">
      <text>
        <r>
          <rPr>
            <b/>
            <sz val="10"/>
            <rFont val="Tahoma"/>
            <family val="2"/>
          </rPr>
          <t>Enter the power consumption of the non-cooled machines.  Typical average is 80 - 100 watts.</t>
        </r>
      </text>
    </comment>
    <comment ref="F10" authorId="0">
      <text>
        <r>
          <rPr>
            <b/>
            <sz val="10"/>
            <rFont val="Tahoma"/>
            <family val="2"/>
          </rPr>
          <t>Enter the sales price of the VendingMiser</t>
        </r>
      </text>
    </comment>
    <comment ref="F11" authorId="0">
      <text>
        <r>
          <rPr>
            <b/>
            <sz val="10"/>
            <rFont val="Tahoma"/>
            <family val="2"/>
          </rPr>
          <t>Enter the sales price of the OfficeMiser</t>
        </r>
      </text>
    </comment>
  </commentList>
</comments>
</file>

<file path=xl/sharedStrings.xml><?xml version="1.0" encoding="utf-8"?>
<sst xmlns="http://schemas.openxmlformats.org/spreadsheetml/2006/main" count="671" uniqueCount="246">
  <si>
    <t>Data Entry</t>
  </si>
  <si>
    <t>Category</t>
  </si>
  <si>
    <t>#Machines</t>
  </si>
  <si>
    <t>POH's/Mch/WK</t>
  </si>
  <si>
    <t>Occupied Hrs/Wk</t>
  </si>
  <si>
    <t>Hrs Auto Pwr On/Wk</t>
  </si>
  <si>
    <t>I</t>
  </si>
  <si>
    <t>II</t>
  </si>
  <si>
    <t>III</t>
  </si>
  <si>
    <t>Total Machines</t>
  </si>
  <si>
    <t>% Savings:</t>
  </si>
  <si>
    <t>Energy Costs  ($0.000 per kwh)</t>
  </si>
  <si>
    <t>K Factor of Air Conditioner  (1.0 - 3.0)</t>
  </si>
  <si>
    <t>Air Conditioning weeks/year (0-52)</t>
  </si>
  <si>
    <t>Air Conditioning hrs/week (0-168)</t>
  </si>
  <si>
    <t>Time Between Auto Repower (hours)</t>
  </si>
  <si>
    <t>Duration of Auto Repower (hours)</t>
  </si>
  <si>
    <t>Power Requirements of Machine (avg-amps)</t>
  </si>
  <si>
    <t>Corporate Tax Rate</t>
  </si>
  <si>
    <t>Effective VendingMiser Price</t>
  </si>
  <si>
    <t>1 Year Financial Analysis</t>
  </si>
  <si>
    <t>Payback in Months</t>
  </si>
  <si>
    <t>Net 1 Year Savings</t>
  </si>
  <si>
    <t>Return on Investment</t>
  </si>
  <si>
    <t>VendingMiser Energy Analysis</t>
  </si>
  <si>
    <t>Release 8.3</t>
  </si>
  <si>
    <t>Energy Analysis Prepared For:</t>
  </si>
  <si>
    <t>Environmental Variables</t>
  </si>
  <si>
    <t>Automatic Repower Event (Hours)</t>
  </si>
  <si>
    <t>Time Duration of Automatic Repower (Hours)</t>
  </si>
  <si>
    <t>Air Conditioning hrs/week (45-168)</t>
  </si>
  <si>
    <t>Vending Machine Usage - Category I</t>
  </si>
  <si>
    <t>Yearly Energy Analysis - Category I</t>
  </si>
  <si>
    <t>Installed Base of Vending Machine</t>
  </si>
  <si>
    <t>Present Energy Costs</t>
  </si>
  <si>
    <t>Power-on hours per week</t>
  </si>
  <si>
    <t>Projected Energy Costs</t>
  </si>
  <si>
    <t>Estimated Occupied hours per week</t>
  </si>
  <si>
    <t>Projected Energy Cost Savings</t>
  </si>
  <si>
    <t>Estimated Additional Auto On Hours per Week</t>
  </si>
  <si>
    <t>Vending Machine Usage - Category II</t>
  </si>
  <si>
    <t>Yearly Energy Analysis - Category II</t>
  </si>
  <si>
    <t>Vending Machine Usage - Category III</t>
  </si>
  <si>
    <t>Yearly Energy Analysis - Category III</t>
  </si>
  <si>
    <t>Yearly Energy Analysis - All Vending Machines</t>
  </si>
  <si>
    <t>Present Energy Costs/Yr</t>
  </si>
  <si>
    <t>Projected Energy Costs/Yr</t>
  </si>
  <si>
    <t>VendingMiser's Energy Costs/Yr</t>
  </si>
  <si>
    <t>Total Energy Cost Savings/Yr</t>
  </si>
  <si>
    <t>Energy Cost Savings per Machine/Yr</t>
  </si>
  <si>
    <t>2 Year Financial Analysis</t>
  </si>
  <si>
    <t>Total Percent Energy Savings</t>
  </si>
  <si>
    <t>Net 2 Year Savings</t>
  </si>
  <si>
    <t>Summary</t>
  </si>
  <si>
    <t>Installed Base of Vending Machines</t>
  </si>
  <si>
    <t>3 Year Financial Analysis</t>
  </si>
  <si>
    <t>Sales Price of VendingMiser</t>
  </si>
  <si>
    <t>Net 3 Year Savings</t>
  </si>
  <si>
    <t>Effective Cost of VendingMiser</t>
  </si>
  <si>
    <t>Total Investment</t>
  </si>
  <si>
    <t>Yearly Energy Cost per Miser</t>
  </si>
  <si>
    <t>Calculations of Present Energy Cost  (Before VendingMiser)</t>
  </si>
  <si>
    <t>Calculate Primary Power Usage per Machine = Voltage x Current</t>
  </si>
  <si>
    <t>Calculate A/C Power Usage per Machine  = Primary Power Usage/K</t>
  </si>
  <si>
    <t>Voltage</t>
  </si>
  <si>
    <t>volts</t>
  </si>
  <si>
    <t xml:space="preserve">       Primary Power Usage</t>
  </si>
  <si>
    <t>watts</t>
  </si>
  <si>
    <t>Current</t>
  </si>
  <si>
    <t>amps</t>
  </si>
  <si>
    <t xml:space="preserve">       K Factor of Air Conditioning</t>
  </si>
  <si>
    <t xml:space="preserve">Primary Power Usage </t>
  </si>
  <si>
    <t>A/C Power Usage</t>
  </si>
  <si>
    <t>Calculate Yearly Power On Hours per Machine = 52*(POH/week)</t>
  </si>
  <si>
    <t>Calculate Yearly POH of A/C = A/C hrs/week*A/C weeks/year</t>
  </si>
  <si>
    <t>Primary POH/Yr</t>
  </si>
  <si>
    <t>hrs</t>
  </si>
  <si>
    <t>A/C POH/Yr</t>
  </si>
  <si>
    <t>Calculate Yearly Primary  Energy Usage per Machine = Power Usage per Machine * Yearly POH/1000</t>
  </si>
  <si>
    <t>Calculate Yearly A/C Energy Usage Required for each Machine = Power x POH/1000</t>
  </si>
  <si>
    <t>Primary Energy/Yr</t>
  </si>
  <si>
    <t>kw hrs</t>
  </si>
  <si>
    <t>A/C Energy/Yr</t>
  </si>
  <si>
    <t>Calculate Present Total  Energy Usage = (Primary Energy +  A/C Energy)*Number of Machines</t>
  </si>
  <si>
    <t>Present Total Energy Usage</t>
  </si>
  <si>
    <t xml:space="preserve">Calculate Present Total  Energy Cost =  Present Total Energy Usage* Energy Costs </t>
  </si>
  <si>
    <t>Enter Results in "Present Energy Cost" Cell - Category I</t>
  </si>
  <si>
    <t>Present  Total Energy Costs</t>
  </si>
  <si>
    <t>Enter Results in "Present Energy Cost" Cell - Category II</t>
  </si>
  <si>
    <t>Enter Results in "Present Energy Cost" Cell - Category III</t>
  </si>
  <si>
    <t>Calculations of Projected Energy Cost  (After VendingMiser)</t>
  </si>
  <si>
    <t>Calculate Yearly Power On Hours per Machine = 52*(Est Usage Hrs/Week) + Est Auto Pwr On Hours</t>
  </si>
  <si>
    <t>Calculate Yearly Power On Hours of A/C = Est Usage Hrs/Wk*AC Usage weeks/year</t>
  </si>
  <si>
    <t>Calculate Yearly AC Energy Usage Required for each Machine = Power x POH/1000</t>
  </si>
  <si>
    <t>Calculate Projected Total  Energy Usage = (Primary Energy +  A/C Energy)*Number of Machines</t>
  </si>
  <si>
    <t>Projected Total Energy Usage</t>
  </si>
  <si>
    <t xml:space="preserve">Calculate Projected Total  Energy Cost = Projected Total Energy Usage* Energy Costs </t>
  </si>
  <si>
    <t>Enter Results in "Projected Energy Cost" Cell - Category I</t>
  </si>
  <si>
    <t>Projected Total Energy Cost</t>
  </si>
  <si>
    <t>Enter Results in "Projected Energy Cost" Cell - Category II</t>
  </si>
  <si>
    <t>Enter Results in "Projected Energy Cost" Cell - Category III</t>
  </si>
  <si>
    <t xml:space="preserve">Calculations of VendingMiser Energy Cost </t>
  </si>
  <si>
    <t>Calculate Power Usage of Miser when Machine is On = Voltage x Current</t>
  </si>
  <si>
    <t>Calculate Power Usage of Miser when Machine is Off = Voltage x Current</t>
  </si>
  <si>
    <t xml:space="preserve">Miser Power Usage </t>
  </si>
  <si>
    <t>VendingMiser Energy Usage - Category I</t>
  </si>
  <si>
    <t>Calculate Yearly Power On Hours of Miser = 52*(Usage/week)</t>
  </si>
  <si>
    <t>Calculate Yearly Power Off Hours (POFH) of Miser = 52*(POH/week-Usage/week)</t>
  </si>
  <si>
    <t>Miser Power On Hours/Yr</t>
  </si>
  <si>
    <t>Miser Power Off Hrs/Yr</t>
  </si>
  <si>
    <t>Calculate Yearly Energy Usage = Power Usage of Miser (On) * Yearly  POH/1000</t>
  </si>
  <si>
    <t>Calculate Yearly Energy Usage = Power Usage of Miser(Off) * Yearly  POFH/1000</t>
  </si>
  <si>
    <t>Miser Energy/Yr</t>
  </si>
  <si>
    <t>Calculate Yearly Energy Usage = (Miser Energy Usage - On + Miser Energy Usage - Off)*Number of Machines</t>
  </si>
  <si>
    <t>Total Miser Energy Usage</t>
  </si>
  <si>
    <t xml:space="preserve">Calculate Yearly Miser Energy Cost = Yearly Miser Energy Usage* Energy Costs </t>
  </si>
  <si>
    <t>Total Miser Energy Cost</t>
  </si>
  <si>
    <t>VendingMiser Energy Usage - Category II</t>
  </si>
  <si>
    <t>VendingMiser Energy Usage - Category III</t>
  </si>
  <si>
    <t>Calculations of  Yearly Energy Analysis - All Machines</t>
  </si>
  <si>
    <t>Calculate Present Energy Costs for All Machines = Sum of Present Total Energy Costs for Categories I, II &amp; III</t>
  </si>
  <si>
    <t>Present Energy Costs - All Machines</t>
  </si>
  <si>
    <t xml:space="preserve">                  Enter Results in "Present Energy Costs/Yr" Cell</t>
  </si>
  <si>
    <t>Calculate Projected Energy Costs for All Machine = Sum of Projected Total Energy Costs for Categories I, II &amp; III</t>
  </si>
  <si>
    <t>Projected Energy Costs - All Machines</t>
  </si>
  <si>
    <t xml:space="preserve">                  Enter Results in "Projected Energy Costs/Yr" Cell</t>
  </si>
  <si>
    <t>Calculate Miser Energy Costs for All Machines = Sum of Miser Energy Costs for Categories I, II &amp; III</t>
  </si>
  <si>
    <t>Machine Miser Energy Costs - All Machines</t>
  </si>
  <si>
    <t xml:space="preserve">                  Enter Results in "Machine Miser Energy Costs/Yr" Cell</t>
  </si>
  <si>
    <t xml:space="preserve">Calculate Total Energy Cost Savings = Present Energy Costs - (Projected Energy Costs + Miser Energy Costs) </t>
  </si>
  <si>
    <t>Total Energy Cost Savings</t>
  </si>
  <si>
    <t xml:space="preserve">                  Enter Results in " Total Energy Cost Savings/Yr" Cell</t>
  </si>
  <si>
    <t>Calculate Energy Cost Savings per Machine = Total Energy Cost Savings/Number of Machines</t>
  </si>
  <si>
    <t xml:space="preserve">Energy Cost Savings per Machine </t>
  </si>
  <si>
    <t xml:space="preserve">                  Enter Results in "Energy Cost Savings per Machine/Yr" Cell</t>
  </si>
  <si>
    <t>Calculation of Financial Analysis</t>
  </si>
  <si>
    <t xml:space="preserve">1 Year Final Analysis </t>
  </si>
  <si>
    <t>Calculate Payback in Months = (Total Investment /Total Energy Cost Savings)*12</t>
  </si>
  <si>
    <t>Calculate Net 1 Year Savings = Total Energy Cost Savings (for 1 Year) - Investment</t>
  </si>
  <si>
    <t>Enter Results in "1 Year Financial Analysis"  Cell</t>
  </si>
  <si>
    <t>Calculate return on Investment = Total Energy Cost Savings (for 1 Year)/Investment</t>
  </si>
  <si>
    <t xml:space="preserve">2 Year Final Analysis </t>
  </si>
  <si>
    <t>Calculate Net 2 Year Savings = Total Energy Cost Savings (for 1 Year) * 2 - Investment</t>
  </si>
  <si>
    <t>Enter Results in "2 Year Financial Analysis" Cell</t>
  </si>
  <si>
    <t>Calculate return on Investment = Total Energy Cost Savings (for 1 Year)*2/Investment</t>
  </si>
  <si>
    <t xml:space="preserve">3 Year Final Analysis </t>
  </si>
  <si>
    <t>Calculate Net 3 Year Savings = Total Energy Cost Savings (for 1 Year)*3 - Investment</t>
  </si>
  <si>
    <t xml:space="preserve">Enter Results in "3 Year Financial Analysis" Cell </t>
  </si>
  <si>
    <t>Calculate return on Investment = Total Energy Cost Savings (for 1 Year)*3/Investment</t>
  </si>
  <si>
    <t>#Offices</t>
  </si>
  <si>
    <t>POH's/OFC/WK</t>
  </si>
  <si>
    <t>Total Offices</t>
  </si>
  <si>
    <t>Power Requirements of Office (avg-amps)</t>
  </si>
  <si>
    <t>Effective OfficeMiser Price</t>
  </si>
  <si>
    <t>OfficeMiser Energy Analysis</t>
  </si>
  <si>
    <t>Release 7.16</t>
  </si>
  <si>
    <t>Office Usage - Category I</t>
  </si>
  <si>
    <t>Installed Base of Offices</t>
  </si>
  <si>
    <t>Office Usage - Category II</t>
  </si>
  <si>
    <t>Office Usage - Category III</t>
  </si>
  <si>
    <t>Yearly Energy Analysis - All Offices</t>
  </si>
  <si>
    <t>OfficeMiser's Energy Costs/Yr</t>
  </si>
  <si>
    <t>Energy Cost Savings per Office/Yr</t>
  </si>
  <si>
    <t>Sales Price of OfficeMiser</t>
  </si>
  <si>
    <t>Effective Cost of OfficeMiser</t>
  </si>
  <si>
    <t>Calculations of Present Energy Cost  (Before MonitorMiser Plus)</t>
  </si>
  <si>
    <t>Calculate Primary Power Usage per Monitor = Voltage x Current</t>
  </si>
  <si>
    <t>Calculate A/C Power Usage per Monitor  = Primary Power Usage/K</t>
  </si>
  <si>
    <t>Calculate Yearly Power On Hours per Monitor = 52*(POH/week)</t>
  </si>
  <si>
    <t>Calculate Yearly Primary  Energy Usage per Monitor = Power Usage per Monitor * Yearly POH/1000</t>
  </si>
  <si>
    <t>Calculate Yearly A/C Energy Usage Required for each Monitor = Power x POH/1000</t>
  </si>
  <si>
    <t>Calculate Present Total  Energy Usage = (Primary Energy +  A/C Energy)*Number of Monitors</t>
  </si>
  <si>
    <t>Calculations of Projected Energy Cost  (After MonitorMiser Plus)</t>
  </si>
  <si>
    <t>Calculate Yearly Power On Hours per Monitor = 52*(Estimated Usage Hrs/Week))</t>
  </si>
  <si>
    <t>Calculate Yearly AC Energy Usage Required for each Monitor = Power x POH/1000</t>
  </si>
  <si>
    <t>Calculate Projected Total  Energy Usage = (Primary Energy +  A/C Energy)*Number of Monitors</t>
  </si>
  <si>
    <t xml:space="preserve">Calculations of MonitorMiser Plus Energy Cost </t>
  </si>
  <si>
    <t>Calculate Power Usage of Miser when Monitor is On = Voltage x Current</t>
  </si>
  <si>
    <t>Calculate Power Usage of Miser when Monitor is Off = Voltage x Current</t>
  </si>
  <si>
    <t>Monitor Miser Energy Usage - Category I</t>
  </si>
  <si>
    <t>Calculate Yearly Energy Usage = (Miser Energy Usage - On + Miser Energy Usage - Off)*Number of Monitors</t>
  </si>
  <si>
    <t>Monitor Miser Energy Usage - Category II</t>
  </si>
  <si>
    <t>Monitor Miser Energy Usage - Category III</t>
  </si>
  <si>
    <t>Calculations of  Yearly Energy Analysis - All PC's</t>
  </si>
  <si>
    <t>Calculate Present Energy Costs for All PC's = Sum of Present Total Energy Costs for Categories I, II &amp; III</t>
  </si>
  <si>
    <t>Present Energy Costs - All PC's</t>
  </si>
  <si>
    <t>Calculate Projected Energy Costs for All PC's = Sum of Projected Total Energy Costs for Categories I, II &amp; III</t>
  </si>
  <si>
    <t>Projected Energy Costs - All PC's</t>
  </si>
  <si>
    <t>Calculate Miser Energy Costs for All PC's = Sum of Miser Energy Costs for Categories I, II &amp; III</t>
  </si>
  <si>
    <t>Monitor Miser Energy Costs - All PC's</t>
  </si>
  <si>
    <t xml:space="preserve">                  Enter Results in "Monitor Miser Energy Costs/Yr" Cell</t>
  </si>
  <si>
    <t>Calculate Energy Cost Savings per Monitor = Total Energy Cost Savings/Number of Monitors</t>
  </si>
  <si>
    <t xml:space="preserve">Energy Cost Savings per Monitor </t>
  </si>
  <si>
    <t xml:space="preserve">                  Enter Results in "Energy Cost Savings per Monitor/Yr" Cell</t>
  </si>
  <si>
    <t>Bill Baker</t>
  </si>
  <si>
    <t>RIT</t>
  </si>
  <si>
    <t>Rochester, NY</t>
  </si>
  <si>
    <t>Number of Cold Drink Vending Machines</t>
  </si>
  <si>
    <t>Number of Uncooled Snack Machines</t>
  </si>
  <si>
    <t xml:space="preserve">Calculate Total kWh Savings = Present kWh - (Projected kWh + Miser kWh) </t>
  </si>
  <si>
    <t>Total kWh Savings</t>
  </si>
  <si>
    <t xml:space="preserve">                  Enter Results in " Total kWh Savings/Yr" Cell</t>
  </si>
  <si>
    <t>Calculate kWh Savings = kWh Use Before OfficeMiser - kWh Use After OfficeMiser</t>
  </si>
  <si>
    <t>OfficeMiser kWh Saved</t>
  </si>
  <si>
    <t xml:space="preserve">                  Enter Results in "kWh Saved/Yr" Cell</t>
  </si>
  <si>
    <t>Calculate % Energy Savings</t>
  </si>
  <si>
    <t>% Energy Savings</t>
  </si>
  <si>
    <t xml:space="preserve">                  Enter Results in "% Energy Savings" Cell</t>
  </si>
  <si>
    <t>Cold Drink and Snack Vending Machine Energy Conservation Project</t>
  </si>
  <si>
    <t>Savings Analysis</t>
  </si>
  <si>
    <t>kWh</t>
  </si>
  <si>
    <t>Facility Occupied Hours per Week</t>
  </si>
  <si>
    <t>Cold Drink Machines</t>
  </si>
  <si>
    <t>Snack Machines</t>
  </si>
  <si>
    <t>Before</t>
  </si>
  <si>
    <t>After</t>
  </si>
  <si>
    <t>Cost of Operation</t>
  </si>
  <si>
    <t>Project Summary</t>
  </si>
  <si>
    <t>Projected Costs</t>
  </si>
  <si>
    <t>kWh Savings per Year</t>
  </si>
  <si>
    <t>Total Project Cost</t>
  </si>
  <si>
    <t>Annual Savings</t>
  </si>
  <si>
    <t>Break Even (Months)</t>
  </si>
  <si>
    <t>Input Variables</t>
  </si>
  <si>
    <t>Present Cost</t>
  </si>
  <si>
    <t>Power Requirements of Cold Drink Machine (avg watts)</t>
  </si>
  <si>
    <t>Power Requirements of Snack Machine (avg watts)</t>
  </si>
  <si>
    <t>Per Cent Savings</t>
  </si>
  <si>
    <t>Year 1</t>
  </si>
  <si>
    <t>Year 2</t>
  </si>
  <si>
    <t>Year 3</t>
  </si>
  <si>
    <t>Year 4</t>
  </si>
  <si>
    <t>Year 5</t>
  </si>
  <si>
    <t>Cost With Miser</t>
  </si>
  <si>
    <t>Cost Without Misers</t>
  </si>
  <si>
    <t>Version 1.0</t>
  </si>
  <si>
    <t>Total Number of machines</t>
  </si>
  <si>
    <t>Source Data for Generating Chart</t>
  </si>
  <si>
    <t>Present kWh</t>
  </si>
  <si>
    <t>Projected kWh</t>
  </si>
  <si>
    <t>VendingMiser Sale Price (for cold drink machines)</t>
  </si>
  <si>
    <t>OfficeMiser Sale Price (for snack machines)</t>
  </si>
  <si>
    <t>Five Year Return on Investment =</t>
  </si>
  <si>
    <t>Your company name here</t>
  </si>
  <si>
    <t>Questions? Call 877-766-5412</t>
  </si>
  <si>
    <t xml:space="preserve">www.VendingMiserStore.com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</si>
</sst>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0.000"/>
    <numFmt numFmtId="167" formatCode="0.0000"/>
    <numFmt numFmtId="168" formatCode="&quot;$&quot;#,##0.00"/>
    <numFmt numFmtId="169" formatCode="&quot;$&quot;#,##0"/>
    <numFmt numFmtId="170" formatCode="&quot;$&quot;#,##0.0_);\(&quot;$&quot;#,##0.0\)"/>
    <numFmt numFmtId="171" formatCode="&quot;$&quot;#,##0.0_);[Red]\(&quot;$&quot;#,##0.0\)"/>
    <numFmt numFmtId="172" formatCode="#,##0.0"/>
    <numFmt numFmtId="173" formatCode="&quot;$&quot;#,##0.0000_);\(&quot;$&quot;#,##0.0000\)"/>
    <numFmt numFmtId="174" formatCode="0.0%"/>
    <numFmt numFmtId="175" formatCode="0.0000000"/>
    <numFmt numFmtId="176" formatCode="0.000000"/>
    <numFmt numFmtId="177" formatCode="0.00000"/>
    <numFmt numFmtId="178" formatCode="0.00000000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0"/>
      <color indexed="11"/>
      <name val="MS Sans Serif"/>
      <family val="0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b/>
      <sz val="14"/>
      <color indexed="18"/>
      <name val="MS Sans Serif"/>
      <family val="0"/>
    </font>
    <font>
      <sz val="10"/>
      <color indexed="18"/>
      <name val="MS Sans Serif"/>
      <family val="0"/>
    </font>
    <font>
      <b/>
      <i/>
      <sz val="8"/>
      <color indexed="18"/>
      <name val="MS Sans Serif"/>
      <family val="0"/>
    </font>
    <font>
      <i/>
      <sz val="8"/>
      <color indexed="18"/>
      <name val="MS Sans Serif"/>
      <family val="0"/>
    </font>
    <font>
      <b/>
      <sz val="12"/>
      <color indexed="18"/>
      <name val="MS Sans Serif"/>
      <family val="0"/>
    </font>
    <font>
      <b/>
      <sz val="10"/>
      <color indexed="18"/>
      <name val="MS Sans Serif"/>
      <family val="0"/>
    </font>
    <font>
      <sz val="12"/>
      <color indexed="18"/>
      <name val="MS Sans Serif"/>
      <family val="0"/>
    </font>
    <font>
      <sz val="8"/>
      <color indexed="9"/>
      <name val="MS Sans Serif"/>
      <family val="0"/>
    </font>
    <font>
      <b/>
      <i/>
      <sz val="10"/>
      <color indexed="10"/>
      <name val="MS Sans Serif"/>
      <family val="0"/>
    </font>
    <font>
      <b/>
      <sz val="10"/>
      <color indexed="10"/>
      <name val="MS Sans Serif"/>
      <family val="0"/>
    </font>
    <font>
      <b/>
      <i/>
      <sz val="10"/>
      <color indexed="18"/>
      <name val="MS Sans Serif"/>
      <family val="0"/>
    </font>
    <font>
      <b/>
      <sz val="14"/>
      <name val="MS Sans Serif"/>
      <family val="0"/>
    </font>
    <font>
      <sz val="14"/>
      <name val="MS Sans Serif"/>
      <family val="0"/>
    </font>
    <font>
      <b/>
      <i/>
      <sz val="8"/>
      <name val="MS Sans Serif"/>
      <family val="0"/>
    </font>
    <font>
      <sz val="8"/>
      <name val="MS Sans Serif"/>
      <family val="0"/>
    </font>
    <font>
      <sz val="10"/>
      <name val="MS Sans Serif"/>
      <family val="0"/>
    </font>
    <font>
      <b/>
      <sz val="8"/>
      <name val="MS Sans Serif"/>
      <family val="0"/>
    </font>
    <font>
      <sz val="12"/>
      <name val="MS Sans Serif"/>
      <family val="0"/>
    </font>
    <font>
      <b/>
      <sz val="10"/>
      <color indexed="8"/>
      <name val="Palatino"/>
      <family val="0"/>
    </font>
    <font>
      <sz val="11"/>
      <name val="Arial"/>
      <family val="2"/>
    </font>
    <font>
      <sz val="11.25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3.5"/>
      <color indexed="18"/>
      <name val="MS Sans Serif"/>
      <family val="2"/>
    </font>
    <font>
      <b/>
      <sz val="13.5"/>
      <name val="MS Sans Serif"/>
      <family val="2"/>
    </font>
    <font>
      <b/>
      <sz val="11"/>
      <color indexed="18"/>
      <name val="MS Sans Serif"/>
      <family val="2"/>
    </font>
    <font>
      <b/>
      <sz val="10"/>
      <color indexed="20"/>
      <name val="MS Sans Serif"/>
      <family val="2"/>
    </font>
    <font>
      <b/>
      <u val="single"/>
      <sz val="14"/>
      <name val="MS Sans Serif"/>
      <family val="2"/>
    </font>
    <font>
      <b/>
      <sz val="10"/>
      <name val="Tahoma"/>
      <family val="2"/>
    </font>
    <font>
      <b/>
      <u val="single"/>
      <sz val="17"/>
      <color indexed="10"/>
      <name val="MS Sans Serif"/>
      <family val="2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2" fontId="4" fillId="0" borderId="7" xfId="0" applyNumberFormat="1" applyFont="1" applyBorder="1" applyAlignment="1" applyProtection="1">
      <alignment horizontal="centerContinuous"/>
      <protection locked="0"/>
    </xf>
    <xf numFmtId="2" fontId="4" fillId="0" borderId="8" xfId="0" applyNumberFormat="1" applyFont="1" applyBorder="1" applyAlignment="1" applyProtection="1">
      <alignment horizontal="centerContinuous"/>
      <protection locked="0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Border="1" applyAlignment="1" applyProtection="1">
      <alignment horizontal="centerContinuous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10" fontId="4" fillId="0" borderId="16" xfId="21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/>
      <protection hidden="1"/>
    </xf>
    <xf numFmtId="0" fontId="7" fillId="0" borderId="18" xfId="0" applyFont="1" applyFill="1" applyBorder="1" applyAlignment="1" applyProtection="1">
      <alignment/>
      <protection hidden="1"/>
    </xf>
    <xf numFmtId="164" fontId="5" fillId="0" borderId="19" xfId="0" applyNumberFormat="1" applyFont="1" applyFill="1" applyBorder="1" applyAlignment="1" applyProtection="1">
      <alignment horizontal="center"/>
      <protection locked="0"/>
    </xf>
    <xf numFmtId="10" fontId="0" fillId="0" borderId="0" xfId="21" applyNumberFormat="1" applyAlignment="1">
      <alignment horizontal="center"/>
    </xf>
    <xf numFmtId="0" fontId="6" fillId="0" borderId="2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165" fontId="5" fillId="0" borderId="21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6" fillId="0" borderId="22" xfId="0" applyFont="1" applyFill="1" applyBorder="1" applyAlignment="1" applyProtection="1">
      <alignment/>
      <protection hidden="1"/>
    </xf>
    <xf numFmtId="0" fontId="7" fillId="0" borderId="23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0" fontId="6" fillId="2" borderId="24" xfId="0" applyFont="1" applyFill="1" applyBorder="1" applyAlignment="1" applyProtection="1">
      <alignment/>
      <protection hidden="1"/>
    </xf>
    <xf numFmtId="0" fontId="7" fillId="2" borderId="25" xfId="0" applyFont="1" applyFill="1" applyBorder="1" applyAlignment="1" applyProtection="1">
      <alignment/>
      <protection hidden="1"/>
    </xf>
    <xf numFmtId="0" fontId="7" fillId="2" borderId="26" xfId="0" applyFont="1" applyFill="1" applyBorder="1" applyAlignment="1">
      <alignment/>
    </xf>
    <xf numFmtId="7" fontId="6" fillId="0" borderId="27" xfId="0" applyNumberFormat="1" applyFont="1" applyFill="1" applyBorder="1" applyAlignment="1" applyProtection="1">
      <alignment horizontal="center"/>
      <protection locked="0"/>
    </xf>
    <xf numFmtId="0" fontId="6" fillId="1" borderId="1" xfId="0" applyFont="1" applyFill="1" applyBorder="1" applyAlignment="1" applyProtection="1">
      <alignment horizontal="centerContinuous"/>
      <protection hidden="1"/>
    </xf>
    <xf numFmtId="0" fontId="6" fillId="1" borderId="28" xfId="0" applyFont="1" applyFill="1" applyBorder="1" applyAlignment="1" applyProtection="1">
      <alignment horizontal="centerContinuous"/>
      <protection hidden="1"/>
    </xf>
    <xf numFmtId="0" fontId="6" fillId="1" borderId="4" xfId="0" applyFont="1" applyFill="1" applyBorder="1" applyAlignment="1" applyProtection="1">
      <alignment horizontal="centerContinuous"/>
      <protection hidden="1"/>
    </xf>
    <xf numFmtId="0" fontId="6" fillId="0" borderId="29" xfId="0" applyFont="1" applyBorder="1" applyAlignment="1" applyProtection="1">
      <alignment/>
      <protection hidden="1"/>
    </xf>
    <xf numFmtId="0" fontId="7" fillId="0" borderId="30" xfId="0" applyFont="1" applyBorder="1" applyAlignment="1" applyProtection="1">
      <alignment/>
      <protection hidden="1"/>
    </xf>
    <xf numFmtId="2" fontId="6" fillId="1" borderId="31" xfId="0" applyNumberFormat="1" applyFont="1" applyFill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5" fontId="6" fillId="0" borderId="21" xfId="0" applyNumberFormat="1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9" fontId="6" fillId="0" borderId="32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1" borderId="1" xfId="0" applyFont="1" applyFill="1" applyBorder="1" applyAlignment="1" applyProtection="1">
      <alignment horizontal="centerContinuous" vertical="center"/>
      <protection hidden="1"/>
    </xf>
    <xf numFmtId="0" fontId="13" fillId="1" borderId="28" xfId="0" applyFont="1" applyFill="1" applyBorder="1" applyAlignment="1" applyProtection="1">
      <alignment horizontal="centerContinuous" vertical="center"/>
      <protection hidden="1"/>
    </xf>
    <xf numFmtId="0" fontId="13" fillId="1" borderId="4" xfId="0" applyFont="1" applyFill="1" applyBorder="1" applyAlignment="1" applyProtection="1">
      <alignment horizontal="centerContinuous" vertical="center"/>
      <protection hidden="1"/>
    </xf>
    <xf numFmtId="0" fontId="13" fillId="0" borderId="17" xfId="0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164" fontId="13" fillId="0" borderId="34" xfId="0" applyNumberFormat="1" applyFont="1" applyFill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" fontId="13" fillId="0" borderId="21" xfId="0" applyNumberFormat="1" applyFont="1" applyFill="1" applyBorder="1" applyAlignment="1" applyProtection="1">
      <alignment horizontal="center" vertical="center"/>
      <protection hidden="1"/>
    </xf>
    <xf numFmtId="165" fontId="13" fillId="0" borderId="21" xfId="0" applyNumberFormat="1" applyFont="1" applyFill="1" applyBorder="1" applyAlignment="1" applyProtection="1">
      <alignment horizontal="center" vertical="center"/>
      <protection hidden="1"/>
    </xf>
    <xf numFmtId="14" fontId="13" fillId="0" borderId="22" xfId="0" applyNumberFormat="1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4" fontId="13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3" fillId="0" borderId="22" xfId="0" applyFont="1" applyFill="1" applyBorder="1" applyAlignment="1" applyProtection="1">
      <alignment vertical="center"/>
      <protection hidden="1"/>
    </xf>
    <xf numFmtId="0" fontId="9" fillId="0" borderId="23" xfId="0" applyFont="1" applyFill="1" applyBorder="1" applyAlignment="1" applyProtection="1">
      <alignment vertical="center"/>
      <protection hidden="1"/>
    </xf>
    <xf numFmtId="165" fontId="13" fillId="0" borderId="3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/>
    </xf>
    <xf numFmtId="165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0" xfId="0" applyFont="1" applyBorder="1" applyAlignment="1">
      <alignment/>
    </xf>
    <xf numFmtId="0" fontId="13" fillId="1" borderId="35" xfId="0" applyFont="1" applyFill="1" applyBorder="1" applyAlignment="1" applyProtection="1">
      <alignment horizontal="centerContinuous" vertical="center"/>
      <protection hidden="1"/>
    </xf>
    <xf numFmtId="0" fontId="13" fillId="1" borderId="36" xfId="0" applyFont="1" applyFill="1" applyBorder="1" applyAlignment="1" applyProtection="1">
      <alignment horizontal="centerContinuous" vertical="center"/>
      <protection hidden="1"/>
    </xf>
    <xf numFmtId="0" fontId="9" fillId="1" borderId="36" xfId="0" applyFont="1" applyFill="1" applyBorder="1" applyAlignment="1" applyProtection="1">
      <alignment horizontal="centerContinuous" vertical="center"/>
      <protection hidden="1"/>
    </xf>
    <xf numFmtId="0" fontId="9" fillId="1" borderId="37" xfId="0" applyFont="1" applyFill="1" applyBorder="1" applyAlignment="1" applyProtection="1">
      <alignment horizontal="centerContinuous" vertical="center"/>
      <protection hidden="1"/>
    </xf>
    <xf numFmtId="0" fontId="9" fillId="1" borderId="28" xfId="0" applyFont="1" applyFill="1" applyBorder="1" applyAlignment="1" applyProtection="1">
      <alignment horizontal="centerContinuous" vertical="center"/>
      <protection hidden="1"/>
    </xf>
    <xf numFmtId="0" fontId="9" fillId="1" borderId="4" xfId="0" applyFont="1" applyFill="1" applyBorder="1" applyAlignment="1" applyProtection="1">
      <alignment horizontal="centerContinuous" vertical="center"/>
      <protection hidden="1"/>
    </xf>
    <xf numFmtId="0" fontId="9" fillId="0" borderId="8" xfId="0" applyFont="1" applyBorder="1" applyAlignment="1">
      <alignment/>
    </xf>
    <xf numFmtId="0" fontId="13" fillId="0" borderId="38" xfId="0" applyFont="1" applyBorder="1" applyAlignment="1" applyProtection="1">
      <alignment vertical="center"/>
      <protection hidden="1"/>
    </xf>
    <xf numFmtId="0" fontId="13" fillId="0" borderId="30" xfId="0" applyFont="1" applyBorder="1" applyAlignment="1" applyProtection="1">
      <alignment vertical="center"/>
      <protection hidden="1"/>
    </xf>
    <xf numFmtId="0" fontId="0" fillId="0" borderId="39" xfId="0" applyBorder="1" applyAlignment="1">
      <alignment vertical="center"/>
    </xf>
    <xf numFmtId="0" fontId="13" fillId="0" borderId="4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vertical="center"/>
      <protection hidden="1"/>
    </xf>
    <xf numFmtId="0" fontId="9" fillId="0" borderId="30" xfId="0" applyFont="1" applyBorder="1" applyAlignment="1" applyProtection="1">
      <alignment vertical="center"/>
      <protection hidden="1"/>
    </xf>
    <xf numFmtId="6" fontId="13" fillId="0" borderId="34" xfId="0" applyNumberFormat="1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41" xfId="0" applyBorder="1" applyAlignment="1">
      <alignment vertical="center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6" fontId="13" fillId="0" borderId="21" xfId="0" applyNumberFormat="1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vertical="center"/>
      <protection hidden="1"/>
    </xf>
    <xf numFmtId="6" fontId="13" fillId="0" borderId="32" xfId="0" applyNumberFormat="1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vertical="center"/>
      <protection hidden="1"/>
    </xf>
    <xf numFmtId="0" fontId="9" fillId="0" borderId="43" xfId="0" applyFont="1" applyBorder="1" applyAlignment="1" applyProtection="1">
      <alignment vertical="center"/>
      <protection hidden="1"/>
    </xf>
    <xf numFmtId="0" fontId="0" fillId="0" borderId="44" xfId="0" applyBorder="1" applyAlignment="1">
      <alignment vertical="center"/>
    </xf>
    <xf numFmtId="1" fontId="1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hidden="1"/>
    </xf>
    <xf numFmtId="6" fontId="13" fillId="0" borderId="0" xfId="0" applyNumberFormat="1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9" fillId="0" borderId="18" xfId="0" applyFont="1" applyBorder="1" applyAlignment="1" applyProtection="1">
      <alignment vertical="center"/>
      <protection hidden="1"/>
    </xf>
    <xf numFmtId="6" fontId="13" fillId="0" borderId="18" xfId="0" applyNumberFormat="1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 vertical="center"/>
    </xf>
    <xf numFmtId="2" fontId="16" fillId="1" borderId="31" xfId="0" applyNumberFormat="1" applyFont="1" applyFill="1" applyBorder="1" applyAlignment="1" applyProtection="1">
      <alignment horizontal="center" vertical="center"/>
      <protection hidden="1"/>
    </xf>
    <xf numFmtId="5" fontId="13" fillId="0" borderId="21" xfId="0" applyNumberFormat="1" applyFont="1" applyBorder="1" applyAlignment="1" applyProtection="1">
      <alignment horizontal="center" vertical="center"/>
      <protection hidden="1"/>
    </xf>
    <xf numFmtId="7" fontId="13" fillId="0" borderId="21" xfId="0" applyNumberFormat="1" applyFont="1" applyBorder="1" applyAlignment="1" applyProtection="1">
      <alignment horizontal="center" vertical="center"/>
      <protection hidden="1"/>
    </xf>
    <xf numFmtId="9" fontId="13" fillId="0" borderId="32" xfId="0" applyNumberFormat="1" applyFont="1" applyBorder="1" applyAlignment="1" applyProtection="1">
      <alignment horizontal="center" vertical="center"/>
      <protection hidden="1"/>
    </xf>
    <xf numFmtId="0" fontId="9" fillId="0" borderId="45" xfId="0" applyFont="1" applyBorder="1" applyAlignment="1" applyProtection="1">
      <alignment vertical="center"/>
      <protection hidden="1"/>
    </xf>
    <xf numFmtId="9" fontId="13" fillId="0" borderId="32" xfId="0" applyNumberFormat="1" applyFont="1" applyBorder="1" applyAlignment="1" applyProtection="1">
      <alignment horizontal="center" vertical="center"/>
      <protection hidden="1"/>
    </xf>
    <xf numFmtId="0" fontId="13" fillId="1" borderId="1" xfId="0" applyFont="1" applyFill="1" applyBorder="1" applyAlignment="1" applyProtection="1">
      <alignment horizontal="center" vertical="center"/>
      <protection hidden="1"/>
    </xf>
    <xf numFmtId="0" fontId="13" fillId="1" borderId="28" xfId="0" applyFont="1" applyFill="1" applyBorder="1" applyAlignment="1" applyProtection="1">
      <alignment horizontal="center" vertical="center"/>
      <protection hidden="1"/>
    </xf>
    <xf numFmtId="0" fontId="9" fillId="1" borderId="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21" xfId="0" applyFont="1" applyFill="1" applyBorder="1" applyAlignment="1" applyProtection="1">
      <alignment horizontal="center" vertical="center"/>
      <protection hidden="1"/>
    </xf>
    <xf numFmtId="0" fontId="13" fillId="0" borderId="20" xfId="0" applyFont="1" applyFill="1" applyBorder="1" applyAlignment="1" applyProtection="1">
      <alignment vertical="center"/>
      <protection/>
    </xf>
    <xf numFmtId="8" fontId="13" fillId="0" borderId="21" xfId="0" applyNumberFormat="1" applyFont="1" applyBorder="1" applyAlignment="1">
      <alignment horizontal="center" vertical="center"/>
    </xf>
    <xf numFmtId="5" fontId="17" fillId="0" borderId="21" xfId="0" applyNumberFormat="1" applyFont="1" applyBorder="1" applyAlignment="1" applyProtection="1">
      <alignment horizontal="center" vertical="center"/>
      <protection hidden="1"/>
    </xf>
    <xf numFmtId="9" fontId="13" fillId="0" borderId="21" xfId="21" applyNumberFormat="1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/>
    </xf>
    <xf numFmtId="7" fontId="18" fillId="0" borderId="21" xfId="0" applyNumberFormat="1" applyFont="1" applyFill="1" applyBorder="1" applyAlignment="1" applyProtection="1">
      <alignment horizontal="center" vertical="center"/>
      <protection hidden="1"/>
    </xf>
    <xf numFmtId="9" fontId="13" fillId="0" borderId="0" xfId="0" applyNumberFormat="1" applyFont="1" applyBorder="1" applyAlignment="1" applyProtection="1">
      <alignment horizontal="center" vertical="center"/>
      <protection hidden="1"/>
    </xf>
    <xf numFmtId="5" fontId="13" fillId="0" borderId="21" xfId="0" applyNumberFormat="1" applyFont="1" applyFill="1" applyBorder="1" applyAlignment="1" applyProtection="1">
      <alignment horizontal="center" vertical="center"/>
      <protection hidden="1"/>
    </xf>
    <xf numFmtId="7" fontId="13" fillId="0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6" fontId="19" fillId="0" borderId="0" xfId="0" applyNumberFormat="1" applyFont="1" applyAlignment="1">
      <alignment horizontal="center"/>
    </xf>
    <xf numFmtId="7" fontId="19" fillId="0" borderId="0" xfId="0" applyNumberFormat="1" applyFont="1" applyAlignment="1">
      <alignment/>
    </xf>
    <xf numFmtId="6" fontId="20" fillId="0" borderId="0" xfId="0" applyNumberFormat="1" applyFont="1" applyAlignment="1">
      <alignment/>
    </xf>
    <xf numFmtId="0" fontId="21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6" fillId="0" borderId="2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/>
      <protection hidden="1"/>
    </xf>
    <xf numFmtId="0" fontId="6" fillId="0" borderId="20" xfId="0" applyFont="1" applyFill="1" applyBorder="1" applyAlignment="1" applyProtection="1">
      <alignment horizontal="left"/>
      <protection hidden="1"/>
    </xf>
    <xf numFmtId="165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8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6" fillId="1" borderId="24" xfId="0" applyFont="1" applyFill="1" applyBorder="1" applyAlignment="1" applyProtection="1">
      <alignment horizontal="left"/>
      <protection hidden="1"/>
    </xf>
    <xf numFmtId="0" fontId="7" fillId="1" borderId="25" xfId="0" applyFont="1" applyFill="1" applyBorder="1" applyAlignment="1" applyProtection="1">
      <alignment/>
      <protection hidden="1"/>
    </xf>
    <xf numFmtId="165" fontId="6" fillId="1" borderId="25" xfId="0" applyNumberFormat="1" applyFont="1" applyFill="1" applyBorder="1" applyAlignment="1" applyProtection="1">
      <alignment horizontal="center"/>
      <protection hidden="1"/>
    </xf>
    <xf numFmtId="0" fontId="6" fillId="1" borderId="46" xfId="0" applyFont="1" applyFill="1" applyBorder="1" applyAlignment="1" applyProtection="1">
      <alignment/>
      <protection hidden="1"/>
    </xf>
    <xf numFmtId="0" fontId="6" fillId="1" borderId="46" xfId="0" applyFont="1" applyFill="1" applyBorder="1" applyAlignment="1">
      <alignment/>
    </xf>
    <xf numFmtId="0" fontId="4" fillId="1" borderId="15" xfId="0" applyFont="1" applyFill="1" applyBorder="1" applyAlignment="1">
      <alignment/>
    </xf>
    <xf numFmtId="0" fontId="0" fillId="1" borderId="47" xfId="0" applyFill="1" applyBorder="1" applyAlignment="1">
      <alignment/>
    </xf>
    <xf numFmtId="0" fontId="0" fillId="1" borderId="48" xfId="0" applyFill="1" applyBorder="1" applyAlignment="1">
      <alignment/>
    </xf>
    <xf numFmtId="0" fontId="21" fillId="0" borderId="29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39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50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3" fontId="4" fillId="0" borderId="43" xfId="0" applyNumberFormat="1" applyFont="1" applyFill="1" applyBorder="1" applyAlignment="1">
      <alignment horizontal="center"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left"/>
    </xf>
    <xf numFmtId="0" fontId="0" fillId="0" borderId="8" xfId="0" applyBorder="1" applyAlignment="1">
      <alignment/>
    </xf>
    <xf numFmtId="3" fontId="22" fillId="0" borderId="30" xfId="0" applyNumberFormat="1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51" xfId="0" applyBorder="1" applyAlignment="1">
      <alignment/>
    </xf>
    <xf numFmtId="0" fontId="4" fillId="0" borderId="2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21" fillId="0" borderId="30" xfId="0" applyFont="1" applyFill="1" applyBorder="1" applyAlignment="1">
      <alignment/>
    </xf>
    <xf numFmtId="3" fontId="21" fillId="0" borderId="3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8" xfId="0" applyFont="1" applyBorder="1" applyAlignment="1">
      <alignment/>
    </xf>
    <xf numFmtId="0" fontId="23" fillId="0" borderId="8" xfId="0" applyFont="1" applyBorder="1" applyAlignment="1">
      <alignment/>
    </xf>
    <xf numFmtId="0" fontId="24" fillId="0" borderId="0" xfId="0" applyFont="1" applyBorder="1" applyAlignment="1">
      <alignment/>
    </xf>
    <xf numFmtId="5" fontId="4" fillId="0" borderId="0" xfId="0" applyNumberFormat="1" applyFont="1" applyBorder="1" applyAlignment="1">
      <alignment horizontal="center"/>
    </xf>
    <xf numFmtId="5" fontId="4" fillId="1" borderId="43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25" fillId="0" borderId="23" xfId="0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5" fontId="3" fillId="0" borderId="23" xfId="0" applyNumberFormat="1" applyFont="1" applyBorder="1" applyAlignment="1">
      <alignment horizontal="center"/>
    </xf>
    <xf numFmtId="0" fontId="25" fillId="0" borderId="14" xfId="0" applyFont="1" applyBorder="1" applyAlignment="1">
      <alignment/>
    </xf>
    <xf numFmtId="5" fontId="4" fillId="0" borderId="18" xfId="0" applyNumberFormat="1" applyFont="1" applyBorder="1" applyAlignment="1">
      <alignment horizontal="center"/>
    </xf>
    <xf numFmtId="0" fontId="0" fillId="0" borderId="30" xfId="0" applyFill="1" applyBorder="1" applyAlignment="1">
      <alignment/>
    </xf>
    <xf numFmtId="3" fontId="0" fillId="0" borderId="30" xfId="0" applyNumberForma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5" fontId="4" fillId="0" borderId="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3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5" fontId="4" fillId="0" borderId="23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3" fontId="4" fillId="1" borderId="48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6" fillId="0" borderId="0" xfId="0" applyFont="1" applyBorder="1" applyAlignment="1" applyProtection="1">
      <alignment horizontal="left"/>
      <protection hidden="1"/>
    </xf>
    <xf numFmtId="165" fontId="6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0" fillId="0" borderId="41" xfId="0" applyFill="1" applyBorder="1" applyAlignment="1">
      <alignment/>
    </xf>
    <xf numFmtId="0" fontId="21" fillId="0" borderId="20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5" fontId="4" fillId="0" borderId="2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5" fontId="24" fillId="0" borderId="0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3" xfId="0" applyFill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/>
    </xf>
    <xf numFmtId="166" fontId="6" fillId="0" borderId="0" xfId="0" applyNumberFormat="1" applyFont="1" applyFill="1" applyBorder="1" applyAlignment="1" applyProtection="1">
      <alignment horizontal="center"/>
      <protection hidden="1"/>
    </xf>
    <xf numFmtId="167" fontId="6" fillId="0" borderId="0" xfId="0" applyNumberFormat="1" applyFont="1" applyFill="1" applyBorder="1" applyAlignment="1" applyProtection="1">
      <alignment horizontal="center"/>
      <protection hidden="1"/>
    </xf>
    <xf numFmtId="167" fontId="6" fillId="1" borderId="25" xfId="0" applyNumberFormat="1" applyFont="1" applyFill="1" applyBorder="1" applyAlignment="1" applyProtection="1">
      <alignment horizontal="center"/>
      <protection hidden="1"/>
    </xf>
    <xf numFmtId="0" fontId="23" fillId="0" borderId="51" xfId="0" applyFont="1" applyFill="1" applyBorder="1" applyAlignment="1">
      <alignment/>
    </xf>
    <xf numFmtId="2" fontId="4" fillId="0" borderId="43" xfId="0" applyNumberFormat="1" applyFont="1" applyFill="1" applyBorder="1" applyAlignment="1">
      <alignment horizontal="center"/>
    </xf>
    <xf numFmtId="0" fontId="22" fillId="0" borderId="39" xfId="0" applyFont="1" applyBorder="1" applyAlignment="1">
      <alignment/>
    </xf>
    <xf numFmtId="1" fontId="4" fillId="0" borderId="43" xfId="0" applyNumberFormat="1" applyFont="1" applyFill="1" applyBorder="1" applyAlignment="1">
      <alignment horizontal="center"/>
    </xf>
    <xf numFmtId="0" fontId="23" fillId="0" borderId="44" xfId="0" applyFont="1" applyBorder="1" applyAlignment="1">
      <alignment/>
    </xf>
    <xf numFmtId="0" fontId="24" fillId="0" borderId="39" xfId="0" applyFont="1" applyBorder="1" applyAlignment="1">
      <alignment/>
    </xf>
    <xf numFmtId="7" fontId="4" fillId="1" borderId="43" xfId="0" applyNumberFormat="1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21" fillId="0" borderId="38" xfId="0" applyFon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4" fillId="0" borderId="42" xfId="0" applyFont="1" applyBorder="1" applyAlignment="1">
      <alignment/>
    </xf>
    <xf numFmtId="0" fontId="24" fillId="0" borderId="0" xfId="0" applyFont="1" applyAlignment="1">
      <alignment horizontal="left"/>
    </xf>
    <xf numFmtId="0" fontId="4" fillId="1" borderId="17" xfId="0" applyFont="1" applyFill="1" applyBorder="1" applyAlignment="1">
      <alignment/>
    </xf>
    <xf numFmtId="0" fontId="0" fillId="1" borderId="18" xfId="0" applyFill="1" applyBorder="1" applyAlignment="1">
      <alignment/>
    </xf>
    <xf numFmtId="0" fontId="21" fillId="0" borderId="29" xfId="0" applyFont="1" applyBorder="1" applyAlignment="1">
      <alignment/>
    </xf>
    <xf numFmtId="0" fontId="0" fillId="0" borderId="49" xfId="0" applyBorder="1" applyAlignment="1">
      <alignment/>
    </xf>
    <xf numFmtId="0" fontId="4" fillId="0" borderId="50" xfId="0" applyFont="1" applyBorder="1" applyAlignment="1">
      <alignment/>
    </xf>
    <xf numFmtId="2" fontId="4" fillId="0" borderId="43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4" fillId="0" borderId="20" xfId="0" applyFont="1" applyBorder="1" applyAlignment="1">
      <alignment/>
    </xf>
    <xf numFmtId="9" fontId="4" fillId="0" borderId="4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3" fillId="1" borderId="1" xfId="0" applyFont="1" applyFill="1" applyBorder="1" applyAlignment="1">
      <alignment horizontal="centerContinuous"/>
    </xf>
    <xf numFmtId="0" fontId="4" fillId="1" borderId="28" xfId="0" applyFont="1" applyFill="1" applyBorder="1" applyAlignment="1">
      <alignment horizontal="centerContinuous"/>
    </xf>
    <xf numFmtId="0" fontId="4" fillId="1" borderId="4" xfId="0" applyFont="1" applyFill="1" applyBorder="1" applyAlignment="1">
      <alignment horizontal="centerContinuous"/>
    </xf>
    <xf numFmtId="0" fontId="4" fillId="0" borderId="52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165" fontId="5" fillId="0" borderId="32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6" fontId="18" fillId="0" borderId="32" xfId="0" applyNumberFormat="1" applyFont="1" applyBorder="1" applyAlignment="1" applyProtection="1">
      <alignment horizontal="center" vertical="center"/>
      <protection hidden="1"/>
    </xf>
    <xf numFmtId="0" fontId="3" fillId="1" borderId="15" xfId="0" applyFont="1" applyFill="1" applyBorder="1" applyAlignment="1">
      <alignment horizontal="centerContinuous"/>
    </xf>
    <xf numFmtId="0" fontId="3" fillId="1" borderId="47" xfId="0" applyFont="1" applyFill="1" applyBorder="1" applyAlignment="1">
      <alignment horizontal="centerContinuous"/>
    </xf>
    <xf numFmtId="0" fontId="3" fillId="1" borderId="48" xfId="0" applyFont="1" applyFill="1" applyBorder="1" applyAlignment="1">
      <alignment horizontal="centerContinuous"/>
    </xf>
    <xf numFmtId="37" fontId="5" fillId="0" borderId="6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37" fontId="4" fillId="1" borderId="43" xfId="0" applyNumberFormat="1" applyFont="1" applyFill="1" applyBorder="1" applyAlignment="1">
      <alignment horizontal="center"/>
    </xf>
    <xf numFmtId="5" fontId="4" fillId="1" borderId="0" xfId="0" applyNumberFormat="1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center"/>
    </xf>
    <xf numFmtId="9" fontId="4" fillId="1" borderId="43" xfId="21" applyFont="1" applyFill="1" applyBorder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1" fontId="5" fillId="0" borderId="21" xfId="0" applyNumberFormat="1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2" fontId="5" fillId="0" borderId="32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4" fillId="1" borderId="53" xfId="0" applyFont="1" applyFill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34" fillId="1" borderId="5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4" fillId="3" borderId="54" xfId="0" applyFont="1" applyFill="1" applyBorder="1" applyAlignment="1" applyProtection="1">
      <alignment vertical="center"/>
      <protection hidden="1"/>
    </xf>
    <xf numFmtId="0" fontId="9" fillId="3" borderId="36" xfId="0" applyFont="1" applyFill="1" applyBorder="1" applyAlignment="1" applyProtection="1">
      <alignment vertical="center"/>
      <protection hidden="1"/>
    </xf>
    <xf numFmtId="0" fontId="34" fillId="3" borderId="29" xfId="0" applyFont="1" applyFill="1" applyBorder="1" applyAlignment="1" applyProtection="1">
      <alignment vertical="center"/>
      <protection hidden="1"/>
    </xf>
    <xf numFmtId="0" fontId="9" fillId="3" borderId="30" xfId="0" applyFont="1" applyFill="1" applyBorder="1" applyAlignment="1" applyProtection="1">
      <alignment vertical="center"/>
      <protection hidden="1"/>
    </xf>
    <xf numFmtId="0" fontId="9" fillId="3" borderId="37" xfId="0" applyFont="1" applyFill="1" applyBorder="1" applyAlignment="1" applyProtection="1">
      <alignment vertical="center"/>
      <protection hidden="1"/>
    </xf>
    <xf numFmtId="0" fontId="34" fillId="3" borderId="24" xfId="0" applyFont="1" applyFill="1" applyBorder="1" applyAlignment="1" applyProtection="1">
      <alignment vertical="center"/>
      <protection hidden="1"/>
    </xf>
    <xf numFmtId="0" fontId="9" fillId="3" borderId="25" xfId="0" applyFont="1" applyFill="1" applyBorder="1" applyAlignment="1" applyProtection="1">
      <alignment vertical="center"/>
      <protection hidden="1"/>
    </xf>
    <xf numFmtId="0" fontId="9" fillId="3" borderId="26" xfId="0" applyFont="1" applyFill="1" applyBorder="1" applyAlignment="1" applyProtection="1">
      <alignment vertical="center"/>
      <protection hidden="1"/>
    </xf>
    <xf numFmtId="0" fontId="23" fillId="0" borderId="7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41" xfId="0" applyFont="1" applyBorder="1" applyAlignment="1" applyProtection="1">
      <alignment horizontal="center"/>
      <protection/>
    </xf>
    <xf numFmtId="7" fontId="23" fillId="0" borderId="0" xfId="0" applyNumberFormat="1" applyFont="1" applyBorder="1" applyAlignment="1" applyProtection="1">
      <alignment/>
      <protection/>
    </xf>
    <xf numFmtId="7" fontId="23" fillId="0" borderId="41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41" xfId="0" applyFont="1" applyBorder="1" applyAlignment="1" applyProtection="1">
      <alignment/>
      <protection/>
    </xf>
    <xf numFmtId="0" fontId="23" fillId="0" borderId="42" xfId="0" applyFont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37" fontId="0" fillId="0" borderId="43" xfId="0" applyNumberForma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64" fontId="4" fillId="3" borderId="31" xfId="0" applyNumberFormat="1" applyFont="1" applyFill="1" applyBorder="1" applyAlignment="1" applyProtection="1">
      <alignment horizontal="center" vertical="center"/>
      <protection locked="0"/>
    </xf>
    <xf numFmtId="1" fontId="4" fillId="3" borderId="31" xfId="21" applyNumberFormat="1" applyFont="1" applyFill="1" applyBorder="1" applyAlignment="1" applyProtection="1">
      <alignment horizontal="center" vertical="center"/>
      <protection locked="0"/>
    </xf>
    <xf numFmtId="37" fontId="4" fillId="3" borderId="31" xfId="0" applyNumberFormat="1" applyFont="1" applyFill="1" applyBorder="1" applyAlignment="1" applyProtection="1">
      <alignment horizontal="center" vertical="center"/>
      <protection locked="0"/>
    </xf>
    <xf numFmtId="3" fontId="4" fillId="3" borderId="31" xfId="0" applyNumberFormat="1" applyFont="1" applyFill="1" applyBorder="1" applyAlignment="1" applyProtection="1">
      <alignment horizontal="center" vertical="center"/>
      <protection locked="0"/>
    </xf>
    <xf numFmtId="3" fontId="4" fillId="3" borderId="34" xfId="0" applyNumberFormat="1" applyFont="1" applyFill="1" applyBorder="1" applyAlignment="1" applyProtection="1">
      <alignment horizontal="center" vertical="center"/>
      <protection locked="0"/>
    </xf>
    <xf numFmtId="168" fontId="4" fillId="3" borderId="31" xfId="0" applyNumberFormat="1" applyFont="1" applyFill="1" applyBorder="1" applyAlignment="1" applyProtection="1">
      <alignment horizontal="center" vertical="center"/>
      <protection locked="0"/>
    </xf>
    <xf numFmtId="168" fontId="4" fillId="3" borderId="27" xfId="0" applyNumberFormat="1" applyFont="1" applyFill="1" applyBorder="1" applyAlignment="1" applyProtection="1">
      <alignment horizontal="center" vertical="center"/>
      <protection locked="0"/>
    </xf>
    <xf numFmtId="7" fontId="4" fillId="3" borderId="53" xfId="0" applyNumberFormat="1" applyFont="1" applyFill="1" applyBorder="1" applyAlignment="1" applyProtection="1">
      <alignment horizontal="center" vertical="center"/>
      <protection/>
    </xf>
    <xf numFmtId="7" fontId="4" fillId="3" borderId="53" xfId="17" applyNumberFormat="1" applyFont="1" applyFill="1" applyBorder="1" applyAlignment="1" applyProtection="1">
      <alignment horizontal="center" vertical="center"/>
      <protection/>
    </xf>
    <xf numFmtId="3" fontId="4" fillId="3" borderId="53" xfId="0" applyNumberFormat="1" applyFont="1" applyFill="1" applyBorder="1" applyAlignment="1" applyProtection="1">
      <alignment horizontal="center"/>
      <protection/>
    </xf>
    <xf numFmtId="37" fontId="4" fillId="3" borderId="53" xfId="0" applyNumberFormat="1" applyFont="1" applyFill="1" applyBorder="1" applyAlignment="1" applyProtection="1">
      <alignment horizontal="center" vertical="center"/>
      <protection/>
    </xf>
    <xf numFmtId="9" fontId="4" fillId="3" borderId="53" xfId="21" applyFont="1" applyFill="1" applyBorder="1" applyAlignment="1" applyProtection="1">
      <alignment horizontal="center"/>
      <protection/>
    </xf>
    <xf numFmtId="168" fontId="4" fillId="3" borderId="35" xfId="21" applyNumberFormat="1" applyFont="1" applyFill="1" applyBorder="1" applyAlignment="1" applyProtection="1">
      <alignment horizontal="center" vertical="center"/>
      <protection/>
    </xf>
    <xf numFmtId="3" fontId="4" fillId="3" borderId="53" xfId="0" applyNumberFormat="1" applyFont="1" applyFill="1" applyBorder="1" applyAlignment="1" applyProtection="1">
      <alignment horizontal="center" vertical="center"/>
      <protection/>
    </xf>
    <xf numFmtId="7" fontId="4" fillId="3" borderId="53" xfId="0" applyNumberFormat="1" applyFont="1" applyFill="1" applyBorder="1" applyAlignment="1" applyProtection="1">
      <alignment horizontal="center"/>
      <protection/>
    </xf>
    <xf numFmtId="165" fontId="4" fillId="3" borderId="53" xfId="0" applyNumberFormat="1" applyFont="1" applyFill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/>
      <protection/>
    </xf>
    <xf numFmtId="0" fontId="23" fillId="0" borderId="18" xfId="0" applyFont="1" applyBorder="1" applyAlignment="1">
      <alignment/>
    </xf>
    <xf numFmtId="0" fontId="31" fillId="0" borderId="18" xfId="0" applyFont="1" applyBorder="1" applyAlignment="1" applyProtection="1">
      <alignment horizontal="right" vertical="center"/>
      <protection/>
    </xf>
    <xf numFmtId="7" fontId="32" fillId="0" borderId="33" xfId="0" applyNumberFormat="1" applyFont="1" applyBorder="1" applyAlignment="1" applyProtection="1">
      <alignment horizontal="left" vertical="center"/>
      <protection/>
    </xf>
    <xf numFmtId="0" fontId="23" fillId="0" borderId="23" xfId="0" applyFont="1" applyBorder="1" applyAlignment="1">
      <alignment/>
    </xf>
    <xf numFmtId="0" fontId="31" fillId="0" borderId="23" xfId="0" applyFont="1" applyBorder="1" applyAlignment="1" applyProtection="1">
      <alignment horizontal="right" vertical="center"/>
      <protection/>
    </xf>
    <xf numFmtId="9" fontId="32" fillId="0" borderId="14" xfId="21" applyFont="1" applyBorder="1" applyAlignment="1" applyProtection="1">
      <alignment horizontal="left" vertical="center"/>
      <protection/>
    </xf>
    <xf numFmtId="9" fontId="31" fillId="0" borderId="22" xfId="21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1" borderId="1" xfId="0" applyFont="1" applyFill="1" applyBorder="1" applyAlignment="1" applyProtection="1">
      <alignment horizontal="center" vertical="center"/>
      <protection hidden="1"/>
    </xf>
    <xf numFmtId="0" fontId="4" fillId="1" borderId="28" xfId="0" applyFont="1" applyFill="1" applyBorder="1" applyAlignment="1" applyProtection="1">
      <alignment horizontal="center" vertical="center"/>
      <protection hidden="1"/>
    </xf>
    <xf numFmtId="0" fontId="4" fillId="1" borderId="4" xfId="0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>
      <alignment horizontal="center" vertical="center" wrapText="1"/>
    </xf>
    <xf numFmtId="0" fontId="23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Five Year Operational Costs for Vending Machines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525"/>
          <c:w val="0.9525"/>
          <c:h val="0.919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Summary!$A$64</c:f>
              <c:strCache>
                <c:ptCount val="1"/>
                <c:pt idx="0">
                  <c:v>Cost Without Misers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Summary!$B$62:$F$62</c:f>
              <c:strCache/>
            </c:strRef>
          </c:cat>
          <c:val>
            <c:numRef>
              <c:f>Summary!$B$64:$F$64</c:f>
              <c:numCache/>
            </c:numRef>
          </c:val>
          <c:smooth val="0"/>
        </c:ser>
        <c:ser>
          <c:idx val="0"/>
          <c:order val="1"/>
          <c:tx>
            <c:strRef>
              <c:f>Summary!$A$63</c:f>
              <c:strCache>
                <c:ptCount val="1"/>
                <c:pt idx="0">
                  <c:v>Cost With Miser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Summary!$B$62:$F$62</c:f>
              <c:strCache/>
            </c:strRef>
          </c:cat>
          <c:val>
            <c:numRef>
              <c:f>Summary!$B$63:$F$63</c:f>
              <c:numCache/>
            </c:numRef>
          </c:val>
          <c:smooth val="0"/>
        </c:ser>
        <c:marker val="1"/>
        <c:axId val="31193969"/>
        <c:axId val="12310266"/>
      </c:lineChart>
      <c:catAx>
        <c:axId val="3119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10266"/>
        <c:crosses val="autoZero"/>
        <c:auto val="1"/>
        <c:lblOffset val="100"/>
        <c:noMultiLvlLbl val="0"/>
      </c:catAx>
      <c:valAx>
        <c:axId val="12310266"/>
        <c:scaling>
          <c:orientation val="minMax"/>
        </c:scaling>
        <c:axPos val="l"/>
        <c:majorGridlines/>
        <c:delete val="0"/>
        <c:numFmt formatCode="&quot;$&quot;#,##0_);\(&quot;$&quot;#,##0\)" sourceLinked="0"/>
        <c:majorTickMark val="out"/>
        <c:minorTickMark val="none"/>
        <c:tickLblPos val="nextTo"/>
        <c:crossAx val="31193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825"/>
          <c:y val="0.17325"/>
          <c:w val="0.26"/>
          <c:h val="0.130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34</xdr:row>
      <xdr:rowOff>47625</xdr:rowOff>
    </xdr:from>
    <xdr:to>
      <xdr:col>5</xdr:col>
      <xdr:colOff>904875</xdr:colOff>
      <xdr:row>56</xdr:row>
      <xdr:rowOff>95250</xdr:rowOff>
    </xdr:to>
    <xdr:graphicFrame>
      <xdr:nvGraphicFramePr>
        <xdr:cNvPr id="1" name="Chart 1"/>
        <xdr:cNvGraphicFramePr/>
      </xdr:nvGraphicFramePr>
      <xdr:xfrm>
        <a:off x="200025" y="6572250"/>
        <a:ext cx="6791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50</xdr:row>
      <xdr:rowOff>76200</xdr:rowOff>
    </xdr:from>
    <xdr:to>
      <xdr:col>6</xdr:col>
      <xdr:colOff>19050</xdr:colOff>
      <xdr:row>50</xdr:row>
      <xdr:rowOff>76200</xdr:rowOff>
    </xdr:to>
    <xdr:sp>
      <xdr:nvSpPr>
        <xdr:cNvPr id="1" name="Line 1"/>
        <xdr:cNvSpPr>
          <a:spLocks/>
        </xdr:cNvSpPr>
      </xdr:nvSpPr>
      <xdr:spPr>
        <a:xfrm>
          <a:off x="4629150" y="85344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59</xdr:row>
      <xdr:rowOff>19050</xdr:rowOff>
    </xdr:from>
    <xdr:to>
      <xdr:col>6</xdr:col>
      <xdr:colOff>0</xdr:colOff>
      <xdr:row>63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4124325" y="9982200"/>
          <a:ext cx="1390650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257175</xdr:colOff>
      <xdr:row>61</xdr:row>
      <xdr:rowOff>95250</xdr:rowOff>
    </xdr:from>
    <xdr:to>
      <xdr:col>9</xdr:col>
      <xdr:colOff>257175</xdr:colOff>
      <xdr:row>68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8934450" y="10391775"/>
          <a:ext cx="0" cy="1190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28575</xdr:colOff>
      <xdr:row>68</xdr:row>
      <xdr:rowOff>104775</xdr:rowOff>
    </xdr:from>
    <xdr:to>
      <xdr:col>9</xdr:col>
      <xdr:colOff>247650</xdr:colOff>
      <xdr:row>68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8705850" y="115824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85725</xdr:rowOff>
    </xdr:from>
    <xdr:to>
      <xdr:col>9</xdr:col>
      <xdr:colOff>257175</xdr:colOff>
      <xdr:row>61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8677275" y="103822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59</xdr:row>
      <xdr:rowOff>19050</xdr:rowOff>
    </xdr:from>
    <xdr:to>
      <xdr:col>5</xdr:col>
      <xdr:colOff>904875</xdr:colOff>
      <xdr:row>59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4124325" y="9982200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1181100</xdr:colOff>
      <xdr:row>59</xdr:row>
      <xdr:rowOff>19050</xdr:rowOff>
    </xdr:from>
    <xdr:to>
      <xdr:col>5</xdr:col>
      <xdr:colOff>904875</xdr:colOff>
      <xdr:row>67</xdr:row>
      <xdr:rowOff>142875</xdr:rowOff>
    </xdr:to>
    <xdr:sp>
      <xdr:nvSpPr>
        <xdr:cNvPr id="7" name="Line 7"/>
        <xdr:cNvSpPr>
          <a:spLocks/>
        </xdr:cNvSpPr>
      </xdr:nvSpPr>
      <xdr:spPr>
        <a:xfrm flipH="1">
          <a:off x="4095750" y="9982200"/>
          <a:ext cx="1419225" cy="1476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771525</xdr:colOff>
      <xdr:row>87</xdr:row>
      <xdr:rowOff>95250</xdr:rowOff>
    </xdr:from>
    <xdr:to>
      <xdr:col>6</xdr:col>
      <xdr:colOff>876300</xdr:colOff>
      <xdr:row>87</xdr:row>
      <xdr:rowOff>95250</xdr:rowOff>
    </xdr:to>
    <xdr:sp>
      <xdr:nvSpPr>
        <xdr:cNvPr id="8" name="Line 8"/>
        <xdr:cNvSpPr>
          <a:spLocks/>
        </xdr:cNvSpPr>
      </xdr:nvSpPr>
      <xdr:spPr>
        <a:xfrm>
          <a:off x="5381625" y="148018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99</xdr:row>
      <xdr:rowOff>85725</xdr:rowOff>
    </xdr:from>
    <xdr:to>
      <xdr:col>6</xdr:col>
      <xdr:colOff>885825</xdr:colOff>
      <xdr:row>99</xdr:row>
      <xdr:rowOff>85725</xdr:rowOff>
    </xdr:to>
    <xdr:sp>
      <xdr:nvSpPr>
        <xdr:cNvPr id="9" name="Line 9"/>
        <xdr:cNvSpPr>
          <a:spLocks/>
        </xdr:cNvSpPr>
      </xdr:nvSpPr>
      <xdr:spPr>
        <a:xfrm>
          <a:off x="5524500" y="1680210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111</xdr:row>
      <xdr:rowOff>85725</xdr:rowOff>
    </xdr:from>
    <xdr:to>
      <xdr:col>6</xdr:col>
      <xdr:colOff>885825</xdr:colOff>
      <xdr:row>111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5524500" y="1877377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44</xdr:row>
      <xdr:rowOff>76200</xdr:rowOff>
    </xdr:from>
    <xdr:to>
      <xdr:col>6</xdr:col>
      <xdr:colOff>19050</xdr:colOff>
      <xdr:row>44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4629150" y="75438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38</xdr:row>
      <xdr:rowOff>76200</xdr:rowOff>
    </xdr:from>
    <xdr:to>
      <xdr:col>6</xdr:col>
      <xdr:colOff>19050</xdr:colOff>
      <xdr:row>38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4629150" y="65532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85725</xdr:rowOff>
    </xdr:from>
    <xdr:to>
      <xdr:col>6</xdr:col>
      <xdr:colOff>885825</xdr:colOff>
      <xdr:row>129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5524500" y="217360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141</xdr:row>
      <xdr:rowOff>85725</xdr:rowOff>
    </xdr:from>
    <xdr:to>
      <xdr:col>6</xdr:col>
      <xdr:colOff>885825</xdr:colOff>
      <xdr:row>141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5524500" y="237077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153</xdr:row>
      <xdr:rowOff>85725</xdr:rowOff>
    </xdr:from>
    <xdr:to>
      <xdr:col>6</xdr:col>
      <xdr:colOff>885825</xdr:colOff>
      <xdr:row>153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5524500" y="2567940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771525</xdr:colOff>
      <xdr:row>227</xdr:row>
      <xdr:rowOff>76200</xdr:rowOff>
    </xdr:from>
    <xdr:to>
      <xdr:col>6</xdr:col>
      <xdr:colOff>904875</xdr:colOff>
      <xdr:row>227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5381625" y="38147625"/>
          <a:ext cx="103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235</xdr:row>
      <xdr:rowOff>95250</xdr:rowOff>
    </xdr:from>
    <xdr:to>
      <xdr:col>6</xdr:col>
      <xdr:colOff>914400</xdr:colOff>
      <xdr:row>235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5524500" y="3948112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242</xdr:row>
      <xdr:rowOff>95250</xdr:rowOff>
    </xdr:from>
    <xdr:to>
      <xdr:col>6</xdr:col>
      <xdr:colOff>914400</xdr:colOff>
      <xdr:row>242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5524500" y="4063365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204</xdr:row>
      <xdr:rowOff>85725</xdr:rowOff>
    </xdr:from>
    <xdr:to>
      <xdr:col>7</xdr:col>
      <xdr:colOff>409575</xdr:colOff>
      <xdr:row>204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6553200" y="34337625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208</xdr:row>
      <xdr:rowOff>85725</xdr:rowOff>
    </xdr:from>
    <xdr:to>
      <xdr:col>7</xdr:col>
      <xdr:colOff>409575</xdr:colOff>
      <xdr:row>208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6553200" y="34985325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211</xdr:row>
      <xdr:rowOff>85725</xdr:rowOff>
    </xdr:from>
    <xdr:to>
      <xdr:col>7</xdr:col>
      <xdr:colOff>409575</xdr:colOff>
      <xdr:row>211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6553200" y="35471100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217</xdr:row>
      <xdr:rowOff>85725</xdr:rowOff>
    </xdr:from>
    <xdr:to>
      <xdr:col>7</xdr:col>
      <xdr:colOff>409575</xdr:colOff>
      <xdr:row>217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6553200" y="36442650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85725</xdr:rowOff>
    </xdr:from>
    <xdr:to>
      <xdr:col>7</xdr:col>
      <xdr:colOff>409575</xdr:colOff>
      <xdr:row>220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6553200" y="36928425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214</xdr:row>
      <xdr:rowOff>85725</xdr:rowOff>
    </xdr:from>
    <xdr:to>
      <xdr:col>7</xdr:col>
      <xdr:colOff>409575</xdr:colOff>
      <xdr:row>214</xdr:row>
      <xdr:rowOff>85725</xdr:rowOff>
    </xdr:to>
    <xdr:sp>
      <xdr:nvSpPr>
        <xdr:cNvPr id="24" name="Line 35"/>
        <xdr:cNvSpPr>
          <a:spLocks/>
        </xdr:cNvSpPr>
      </xdr:nvSpPr>
      <xdr:spPr>
        <a:xfrm>
          <a:off x="6553200" y="35956875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47</xdr:row>
      <xdr:rowOff>76200</xdr:rowOff>
    </xdr:from>
    <xdr:to>
      <xdr:col>6</xdr:col>
      <xdr:colOff>19050</xdr:colOff>
      <xdr:row>47</xdr:row>
      <xdr:rowOff>76200</xdr:rowOff>
    </xdr:to>
    <xdr:sp>
      <xdr:nvSpPr>
        <xdr:cNvPr id="1" name="Line 1"/>
        <xdr:cNvSpPr>
          <a:spLocks/>
        </xdr:cNvSpPr>
      </xdr:nvSpPr>
      <xdr:spPr>
        <a:xfrm>
          <a:off x="4724400" y="8039100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55</xdr:row>
      <xdr:rowOff>9525</xdr:rowOff>
    </xdr:from>
    <xdr:to>
      <xdr:col>6</xdr:col>
      <xdr:colOff>0</xdr:colOff>
      <xdr:row>59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4219575" y="9315450"/>
          <a:ext cx="1266825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247650</xdr:colOff>
      <xdr:row>57</xdr:row>
      <xdr:rowOff>85725</xdr:rowOff>
    </xdr:from>
    <xdr:to>
      <xdr:col>9</xdr:col>
      <xdr:colOff>247650</xdr:colOff>
      <xdr:row>63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8715375" y="9725025"/>
          <a:ext cx="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63</xdr:row>
      <xdr:rowOff>76200</xdr:rowOff>
    </xdr:from>
    <xdr:to>
      <xdr:col>9</xdr:col>
      <xdr:colOff>257175</xdr:colOff>
      <xdr:row>63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8477250" y="10725150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76200</xdr:rowOff>
    </xdr:from>
    <xdr:to>
      <xdr:col>9</xdr:col>
      <xdr:colOff>247650</xdr:colOff>
      <xdr:row>57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8467725" y="9715500"/>
          <a:ext cx="2476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55</xdr:row>
      <xdr:rowOff>9525</xdr:rowOff>
    </xdr:from>
    <xdr:to>
      <xdr:col>5</xdr:col>
      <xdr:colOff>781050</xdr:colOff>
      <xdr:row>55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4219575" y="9315450"/>
          <a:ext cx="1266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1181100</xdr:colOff>
      <xdr:row>55</xdr:row>
      <xdr:rowOff>9525</xdr:rowOff>
    </xdr:from>
    <xdr:to>
      <xdr:col>5</xdr:col>
      <xdr:colOff>781050</xdr:colOff>
      <xdr:row>63</xdr:row>
      <xdr:rowOff>133350</xdr:rowOff>
    </xdr:to>
    <xdr:sp>
      <xdr:nvSpPr>
        <xdr:cNvPr id="7" name="Line 7"/>
        <xdr:cNvSpPr>
          <a:spLocks/>
        </xdr:cNvSpPr>
      </xdr:nvSpPr>
      <xdr:spPr>
        <a:xfrm flipH="1">
          <a:off x="4191000" y="9315450"/>
          <a:ext cx="1295400" cy="1466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771525</xdr:colOff>
      <xdr:row>82</xdr:row>
      <xdr:rowOff>95250</xdr:rowOff>
    </xdr:from>
    <xdr:to>
      <xdr:col>6</xdr:col>
      <xdr:colOff>876300</xdr:colOff>
      <xdr:row>82</xdr:row>
      <xdr:rowOff>95250</xdr:rowOff>
    </xdr:to>
    <xdr:sp>
      <xdr:nvSpPr>
        <xdr:cNvPr id="8" name="Line 8"/>
        <xdr:cNvSpPr>
          <a:spLocks/>
        </xdr:cNvSpPr>
      </xdr:nvSpPr>
      <xdr:spPr>
        <a:xfrm>
          <a:off x="5476875" y="1397317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94</xdr:row>
      <xdr:rowOff>85725</xdr:rowOff>
    </xdr:from>
    <xdr:to>
      <xdr:col>6</xdr:col>
      <xdr:colOff>885825</xdr:colOff>
      <xdr:row>94</xdr:row>
      <xdr:rowOff>85725</xdr:rowOff>
    </xdr:to>
    <xdr:sp>
      <xdr:nvSpPr>
        <xdr:cNvPr id="9" name="Line 9"/>
        <xdr:cNvSpPr>
          <a:spLocks/>
        </xdr:cNvSpPr>
      </xdr:nvSpPr>
      <xdr:spPr>
        <a:xfrm>
          <a:off x="5495925" y="159734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106</xdr:row>
      <xdr:rowOff>85725</xdr:rowOff>
    </xdr:from>
    <xdr:to>
      <xdr:col>6</xdr:col>
      <xdr:colOff>885825</xdr:colOff>
      <xdr:row>106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5495925" y="1794510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40</xdr:row>
      <xdr:rowOff>76200</xdr:rowOff>
    </xdr:from>
    <xdr:to>
      <xdr:col>6</xdr:col>
      <xdr:colOff>19050</xdr:colOff>
      <xdr:row>40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4724400" y="688657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33</xdr:row>
      <xdr:rowOff>76200</xdr:rowOff>
    </xdr:from>
    <xdr:to>
      <xdr:col>6</xdr:col>
      <xdr:colOff>19050</xdr:colOff>
      <xdr:row>33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4724400" y="5734050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85725</xdr:rowOff>
    </xdr:from>
    <xdr:to>
      <xdr:col>6</xdr:col>
      <xdr:colOff>885825</xdr:colOff>
      <xdr:row>124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5495925" y="2090737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136</xdr:row>
      <xdr:rowOff>85725</xdr:rowOff>
    </xdr:from>
    <xdr:to>
      <xdr:col>6</xdr:col>
      <xdr:colOff>885825</xdr:colOff>
      <xdr:row>136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5495925" y="228790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148</xdr:row>
      <xdr:rowOff>85725</xdr:rowOff>
    </xdr:from>
    <xdr:to>
      <xdr:col>6</xdr:col>
      <xdr:colOff>885825</xdr:colOff>
      <xdr:row>148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5495925" y="248507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771525</xdr:colOff>
      <xdr:row>224</xdr:row>
      <xdr:rowOff>76200</xdr:rowOff>
    </xdr:from>
    <xdr:to>
      <xdr:col>6</xdr:col>
      <xdr:colOff>904875</xdr:colOff>
      <xdr:row>224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5476875" y="3764280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232</xdr:row>
      <xdr:rowOff>95250</xdr:rowOff>
    </xdr:from>
    <xdr:to>
      <xdr:col>6</xdr:col>
      <xdr:colOff>914400</xdr:colOff>
      <xdr:row>232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5495925" y="389763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239</xdr:row>
      <xdr:rowOff>95250</xdr:rowOff>
    </xdr:from>
    <xdr:to>
      <xdr:col>6</xdr:col>
      <xdr:colOff>914400</xdr:colOff>
      <xdr:row>239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5495925" y="4012882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199</xdr:row>
      <xdr:rowOff>85725</xdr:rowOff>
    </xdr:from>
    <xdr:to>
      <xdr:col>7</xdr:col>
      <xdr:colOff>409575</xdr:colOff>
      <xdr:row>199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6419850" y="33508950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202</xdr:row>
      <xdr:rowOff>85725</xdr:rowOff>
    </xdr:from>
    <xdr:to>
      <xdr:col>7</xdr:col>
      <xdr:colOff>409575</xdr:colOff>
      <xdr:row>202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6419850" y="33994725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208</xdr:row>
      <xdr:rowOff>85725</xdr:rowOff>
    </xdr:from>
    <xdr:to>
      <xdr:col>7</xdr:col>
      <xdr:colOff>409575</xdr:colOff>
      <xdr:row>208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6419850" y="34966275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211</xdr:row>
      <xdr:rowOff>85725</xdr:rowOff>
    </xdr:from>
    <xdr:to>
      <xdr:col>7</xdr:col>
      <xdr:colOff>409575</xdr:colOff>
      <xdr:row>211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6419850" y="35452050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217</xdr:row>
      <xdr:rowOff>85725</xdr:rowOff>
    </xdr:from>
    <xdr:to>
      <xdr:col>7</xdr:col>
      <xdr:colOff>409575</xdr:colOff>
      <xdr:row>217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6419850" y="36423600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205</xdr:row>
      <xdr:rowOff>85725</xdr:rowOff>
    </xdr:from>
    <xdr:to>
      <xdr:col>7</xdr:col>
      <xdr:colOff>409575</xdr:colOff>
      <xdr:row>205</xdr:row>
      <xdr:rowOff>85725</xdr:rowOff>
    </xdr:to>
    <xdr:sp>
      <xdr:nvSpPr>
        <xdr:cNvPr id="24" name="Line 30"/>
        <xdr:cNvSpPr>
          <a:spLocks/>
        </xdr:cNvSpPr>
      </xdr:nvSpPr>
      <xdr:spPr>
        <a:xfrm>
          <a:off x="6419850" y="34480500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214</xdr:row>
      <xdr:rowOff>85725</xdr:rowOff>
    </xdr:from>
    <xdr:to>
      <xdr:col>7</xdr:col>
      <xdr:colOff>409575</xdr:colOff>
      <xdr:row>214</xdr:row>
      <xdr:rowOff>85725</xdr:rowOff>
    </xdr:to>
    <xdr:sp>
      <xdr:nvSpPr>
        <xdr:cNvPr id="25" name="Line 31"/>
        <xdr:cNvSpPr>
          <a:spLocks/>
        </xdr:cNvSpPr>
      </xdr:nvSpPr>
      <xdr:spPr>
        <a:xfrm>
          <a:off x="6419850" y="35937825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="85" zoomScaleNormal="85" workbookViewId="0" topLeftCell="A1">
      <selection activeCell="A9" sqref="A9"/>
    </sheetView>
  </sheetViews>
  <sheetFormatPr defaultColWidth="9.33203125" defaultRowHeight="12.75"/>
  <cols>
    <col min="1" max="1" width="24.83203125" style="313" customWidth="1"/>
    <col min="2" max="2" width="19" style="313" customWidth="1"/>
    <col min="3" max="3" width="18.5" style="313" customWidth="1"/>
    <col min="4" max="4" width="22.5" style="313" customWidth="1"/>
    <col min="5" max="5" width="21.66015625" style="313" customWidth="1"/>
    <col min="6" max="6" width="19.5" style="313" customWidth="1"/>
    <col min="7" max="7" width="4.33203125" style="313" customWidth="1"/>
    <col min="8" max="16384" width="9.33203125" style="313" customWidth="1"/>
  </cols>
  <sheetData>
    <row r="1" spans="1:7" ht="22.5">
      <c r="A1" s="381" t="s">
        <v>208</v>
      </c>
      <c r="B1" s="381"/>
      <c r="C1" s="381"/>
      <c r="D1" s="381"/>
      <c r="E1" s="381"/>
      <c r="F1" s="381"/>
      <c r="G1"/>
    </row>
    <row r="2" ht="13.5" thickBot="1">
      <c r="G2"/>
    </row>
    <row r="3" spans="2:7" ht="15.75">
      <c r="B3" s="314"/>
      <c r="C3" s="378" t="s">
        <v>223</v>
      </c>
      <c r="D3" s="379"/>
      <c r="E3" s="379"/>
      <c r="F3" s="380"/>
      <c r="G3"/>
    </row>
    <row r="4" spans="1:7" ht="13.5" customHeight="1">
      <c r="A4" s="317" t="s">
        <v>26</v>
      </c>
      <c r="B4" s="316"/>
      <c r="C4" s="331" t="s">
        <v>11</v>
      </c>
      <c r="D4" s="332"/>
      <c r="E4" s="332"/>
      <c r="F4" s="351">
        <v>0.065</v>
      </c>
      <c r="G4"/>
    </row>
    <row r="5" spans="1:7" ht="13.5" customHeight="1">
      <c r="A5" s="316"/>
      <c r="B5" s="315"/>
      <c r="C5" s="331" t="s">
        <v>211</v>
      </c>
      <c r="D5" s="332"/>
      <c r="E5" s="332"/>
      <c r="F5" s="352">
        <v>70</v>
      </c>
      <c r="G5"/>
    </row>
    <row r="6" spans="1:7" ht="13.5" customHeight="1">
      <c r="A6" s="315" t="s">
        <v>243</v>
      </c>
      <c r="B6" s="315"/>
      <c r="C6" s="331" t="s">
        <v>197</v>
      </c>
      <c r="D6" s="332"/>
      <c r="E6" s="332"/>
      <c r="F6" s="353">
        <v>100</v>
      </c>
      <c r="G6"/>
    </row>
    <row r="7" spans="1:7" ht="13.5" customHeight="1">
      <c r="A7" s="315" t="s">
        <v>244</v>
      </c>
      <c r="B7" s="315"/>
      <c r="C7" s="331" t="s">
        <v>198</v>
      </c>
      <c r="D7" s="332"/>
      <c r="E7" s="332"/>
      <c r="F7" s="353">
        <v>10</v>
      </c>
      <c r="G7"/>
    </row>
    <row r="8" spans="1:7" ht="13.5" customHeight="1">
      <c r="A8" s="382" t="s">
        <v>245</v>
      </c>
      <c r="B8" s="315"/>
      <c r="C8" s="333" t="s">
        <v>225</v>
      </c>
      <c r="D8" s="332"/>
      <c r="E8" s="332"/>
      <c r="F8" s="354">
        <v>427</v>
      </c>
      <c r="G8"/>
    </row>
    <row r="9" spans="3:7" ht="13.5" customHeight="1">
      <c r="C9" s="331" t="s">
        <v>226</v>
      </c>
      <c r="D9" s="334"/>
      <c r="E9" s="334"/>
      <c r="F9" s="355">
        <v>100</v>
      </c>
      <c r="G9"/>
    </row>
    <row r="10" spans="3:7" ht="13.5" customHeight="1">
      <c r="C10" s="333" t="s">
        <v>240</v>
      </c>
      <c r="D10" s="332"/>
      <c r="E10" s="335"/>
      <c r="F10" s="356">
        <v>179</v>
      </c>
      <c r="G10"/>
    </row>
    <row r="11" spans="3:7" ht="13.5" customHeight="1" thickBot="1">
      <c r="C11" s="336" t="s">
        <v>241</v>
      </c>
      <c r="D11" s="337"/>
      <c r="E11" s="338"/>
      <c r="F11" s="357">
        <v>79</v>
      </c>
      <c r="G11"/>
    </row>
    <row r="12" spans="3:7" ht="13.5" customHeight="1">
      <c r="C12"/>
      <c r="D12"/>
      <c r="E12"/>
      <c r="F12"/>
      <c r="G12"/>
    </row>
    <row r="13" spans="1:7" ht="18.75">
      <c r="A13" s="321" t="s">
        <v>209</v>
      </c>
      <c r="B13" s="322"/>
      <c r="C13" s="322"/>
      <c r="D13" s="322"/>
      <c r="E13" s="322"/>
      <c r="F13" s="322"/>
      <c r="G13"/>
    </row>
    <row r="14" spans="1:7" ht="12.75">
      <c r="A14" s="323"/>
      <c r="B14" s="324" t="s">
        <v>214</v>
      </c>
      <c r="C14" s="324" t="s">
        <v>215</v>
      </c>
      <c r="D14" s="323"/>
      <c r="E14" s="324"/>
      <c r="F14" s="324"/>
      <c r="G14"/>
    </row>
    <row r="15" spans="1:7" ht="14.25" customHeight="1">
      <c r="A15" s="325" t="s">
        <v>212</v>
      </c>
      <c r="B15" s="358">
        <f>'VM Analysis'!$I$58</f>
        <v>24330.033000000003</v>
      </c>
      <c r="C15" s="359">
        <f>'VM Analysis'!$I$59</f>
        <v>12543.409666666668</v>
      </c>
      <c r="D15" s="326" t="s">
        <v>216</v>
      </c>
      <c r="G15"/>
    </row>
    <row r="16" spans="1:7" ht="14.25" customHeight="1">
      <c r="A16" s="323"/>
      <c r="B16" s="360">
        <f>'VM Analysis'!$C$87+'VM Analysis'!$C$99+'VM Analysis'!$C$111</f>
        <v>374308.2</v>
      </c>
      <c r="C16" s="361">
        <f>'VM Analysis'!$C$129+'VM Analysis'!$C$141+'VM Analysis'!$C$153</f>
        <v>192975.53333333335</v>
      </c>
      <c r="D16" s="326" t="s">
        <v>210</v>
      </c>
      <c r="G16"/>
    </row>
    <row r="17" spans="1:7" ht="14.25" customHeight="1">
      <c r="A17" s="323"/>
      <c r="B17" s="323"/>
      <c r="C17" s="362">
        <f>1-(C15/B15)</f>
        <v>0.48444748650087455</v>
      </c>
      <c r="D17" s="326" t="s">
        <v>206</v>
      </c>
      <c r="G17"/>
    </row>
    <row r="18" spans="1:7" ht="12.75">
      <c r="A18" s="323"/>
      <c r="B18" s="323"/>
      <c r="C18" s="323"/>
      <c r="D18" s="323"/>
      <c r="E18" s="323"/>
      <c r="F18" s="323"/>
      <c r="G18"/>
    </row>
    <row r="19" spans="1:7" ht="12.75">
      <c r="A19" s="325" t="s">
        <v>213</v>
      </c>
      <c r="B19" s="358">
        <f>'OM Analysis'!$I$54</f>
        <v>567.84</v>
      </c>
      <c r="C19" s="363">
        <f>'OM Analysis'!$I$55</f>
        <v>236.6</v>
      </c>
      <c r="D19" s="326" t="s">
        <v>216</v>
      </c>
      <c r="E19" s="323"/>
      <c r="F19" s="323"/>
      <c r="G19"/>
    </row>
    <row r="20" spans="1:7" ht="12.75">
      <c r="A20" s="323"/>
      <c r="B20" s="360">
        <f>'OM Analysis'!$C$82+'OM Analysis'!$C$94+'OM Analysis'!$C$106</f>
        <v>8736</v>
      </c>
      <c r="C20" s="361">
        <f>'OM Analysis'!$C$124+'OM Analysis'!$C$136+'OM Analysis'!$C$148</f>
        <v>3640</v>
      </c>
      <c r="D20" s="326" t="s">
        <v>210</v>
      </c>
      <c r="E20" s="323"/>
      <c r="F20" s="323"/>
      <c r="G20"/>
    </row>
    <row r="21" spans="1:7" ht="12.75">
      <c r="A21" s="323"/>
      <c r="C21" s="362">
        <f>IF(B19=0,0,1-(C19/B19))</f>
        <v>0.5833333333333334</v>
      </c>
      <c r="D21" s="326" t="s">
        <v>206</v>
      </c>
      <c r="E21" s="323"/>
      <c r="F21" s="323"/>
      <c r="G21"/>
    </row>
    <row r="22" spans="1:7" ht="12.75">
      <c r="A22" s="323"/>
      <c r="C22"/>
      <c r="D22" s="350"/>
      <c r="E22" s="323"/>
      <c r="F22" s="323"/>
      <c r="G22"/>
    </row>
    <row r="23" spans="1:7" ht="19.5">
      <c r="A23" s="321" t="s">
        <v>217</v>
      </c>
      <c r="B23" s="323"/>
      <c r="C23" s="323"/>
      <c r="D23" s="323"/>
      <c r="E23" s="323"/>
      <c r="F23" s="323"/>
      <c r="G23"/>
    </row>
    <row r="24" spans="1:7" ht="12.75" customHeight="1">
      <c r="A24" s="321"/>
      <c r="B24" s="323"/>
      <c r="C24" s="323"/>
      <c r="D24" s="323"/>
      <c r="E24" s="323"/>
      <c r="F24" s="323"/>
      <c r="G24"/>
    </row>
    <row r="25" spans="1:7" ht="26.25" customHeight="1">
      <c r="A25" s="328" t="s">
        <v>238</v>
      </c>
      <c r="B25" s="328" t="s">
        <v>239</v>
      </c>
      <c r="C25" s="328" t="s">
        <v>219</v>
      </c>
      <c r="D25" s="323"/>
      <c r="E25" s="323"/>
      <c r="F25" s="323"/>
      <c r="G25"/>
    </row>
    <row r="26" spans="1:7" ht="12.75" customHeight="1">
      <c r="A26" s="364">
        <f>B16+B20</f>
        <v>383044.2</v>
      </c>
      <c r="B26" s="364">
        <f>C16+C20</f>
        <v>196615.53333333335</v>
      </c>
      <c r="C26" s="364">
        <f>(B16-C16)+(B20-C20)</f>
        <v>186428.66666666666</v>
      </c>
      <c r="D26" s="323"/>
      <c r="E26" s="323"/>
      <c r="F26" s="323"/>
      <c r="G26"/>
    </row>
    <row r="27" spans="1:7" ht="12.75" customHeight="1">
      <c r="A27" s="327"/>
      <c r="B27" s="323"/>
      <c r="C27" s="323"/>
      <c r="D27" s="323"/>
      <c r="E27" s="323"/>
      <c r="F27" s="323"/>
      <c r="G27"/>
    </row>
    <row r="28" spans="1:7" ht="25.5">
      <c r="A28" s="328" t="s">
        <v>224</v>
      </c>
      <c r="B28" s="328" t="s">
        <v>218</v>
      </c>
      <c r="C28" s="328" t="s">
        <v>221</v>
      </c>
      <c r="D28" s="328" t="s">
        <v>227</v>
      </c>
      <c r="E28" s="328" t="s">
        <v>220</v>
      </c>
      <c r="F28" s="328" t="s">
        <v>222</v>
      </c>
      <c r="G28"/>
    </row>
    <row r="29" spans="1:7" ht="14.25" customHeight="1">
      <c r="A29" s="365">
        <f>B15+B19</f>
        <v>24897.873000000003</v>
      </c>
      <c r="B29" s="365">
        <f>C15+C19</f>
        <v>12780.009666666669</v>
      </c>
      <c r="C29" s="365">
        <f>A29-B29</f>
        <v>12117.863333333335</v>
      </c>
      <c r="D29" s="362">
        <f>1-(B29/A29)</f>
        <v>0.4867027530156224</v>
      </c>
      <c r="E29" s="365">
        <f>(F10*F6)+(F11*F7)</f>
        <v>18690</v>
      </c>
      <c r="F29" s="366">
        <f>(E29/C29)*12</f>
        <v>18.508213356645108</v>
      </c>
      <c r="G29"/>
    </row>
    <row r="30" spans="1:7" ht="12.75">
      <c r="A30" s="323"/>
      <c r="B30" s="323"/>
      <c r="C30" s="323"/>
      <c r="D30" s="323"/>
      <c r="E30" s="323"/>
      <c r="F30" s="323"/>
      <c r="G30"/>
    </row>
    <row r="31" spans="1:7" ht="13.5" thickBot="1">
      <c r="A31" s="323"/>
      <c r="B31" s="323"/>
      <c r="C31" s="323"/>
      <c r="D31" s="323"/>
      <c r="G31"/>
    </row>
    <row r="32" spans="2:7" ht="19.5">
      <c r="B32" s="367"/>
      <c r="C32" s="368"/>
      <c r="D32" s="369" t="str">
        <f>"Five Year Savings on "&amp;B66&amp;" Machines ="</f>
        <v>Five Year Savings on 110 Machines =</v>
      </c>
      <c r="E32" s="370">
        <f>5*C29</f>
        <v>60589.31666666667</v>
      </c>
      <c r="F32" s="323"/>
      <c r="G32"/>
    </row>
    <row r="33" spans="2:7" ht="20.25" thickBot="1">
      <c r="B33" s="374"/>
      <c r="C33" s="371"/>
      <c r="D33" s="372" t="s">
        <v>242</v>
      </c>
      <c r="E33" s="373">
        <f>(E32-E29)/E29</f>
        <v>2.2418039950062427</v>
      </c>
      <c r="F33" s="323"/>
      <c r="G33"/>
    </row>
    <row r="34" spans="1:7" ht="12.75">
      <c r="A34" s="323"/>
      <c r="B34" s="323"/>
      <c r="C34" s="323"/>
      <c r="D34" s="323"/>
      <c r="E34" s="323"/>
      <c r="F34" s="323"/>
      <c r="G34"/>
    </row>
    <row r="35" spans="1:7" ht="12.75">
      <c r="A35" s="323"/>
      <c r="B35" s="323"/>
      <c r="C35" s="323"/>
      <c r="D35" s="323"/>
      <c r="E35" s="323"/>
      <c r="F35" s="323"/>
      <c r="G35"/>
    </row>
    <row r="36" spans="1:7" ht="12.75">
      <c r="A36" s="323"/>
      <c r="B36" s="323"/>
      <c r="C36" s="323"/>
      <c r="D36" s="323"/>
      <c r="E36" s="323"/>
      <c r="F36" s="323"/>
      <c r="G36"/>
    </row>
    <row r="37" spans="1:7" ht="12.75">
      <c r="A37" s="323"/>
      <c r="B37" s="323"/>
      <c r="C37" s="323"/>
      <c r="D37" s="323"/>
      <c r="E37" s="323"/>
      <c r="F37" s="323"/>
      <c r="G37"/>
    </row>
    <row r="38" spans="1:7" ht="12.75">
      <c r="A38" s="323"/>
      <c r="B38" s="323"/>
      <c r="C38" s="323"/>
      <c r="D38" s="323"/>
      <c r="E38" s="323"/>
      <c r="F38" s="323"/>
      <c r="G38"/>
    </row>
    <row r="39" spans="1:7" ht="12.75">
      <c r="A39" s="323"/>
      <c r="B39" s="323"/>
      <c r="C39" s="323"/>
      <c r="D39" s="323"/>
      <c r="E39" s="323"/>
      <c r="F39" s="323"/>
      <c r="G39"/>
    </row>
    <row r="40" spans="1:7" ht="12.75">
      <c r="A40" s="323"/>
      <c r="B40" s="323"/>
      <c r="C40" s="323"/>
      <c r="D40" s="323"/>
      <c r="E40" s="323"/>
      <c r="F40" s="323"/>
      <c r="G40"/>
    </row>
    <row r="41" spans="1:7" ht="12.75">
      <c r="A41" s="323"/>
      <c r="B41" s="323"/>
      <c r="C41" s="323"/>
      <c r="D41" s="323"/>
      <c r="E41" s="323"/>
      <c r="F41" s="323"/>
      <c r="G41"/>
    </row>
    <row r="42" spans="1:7" ht="12.75">
      <c r="A42" s="323"/>
      <c r="B42" s="323"/>
      <c r="C42" s="323"/>
      <c r="D42" s="323"/>
      <c r="E42" s="323"/>
      <c r="F42" s="323"/>
      <c r="G42"/>
    </row>
    <row r="43" spans="1:7" ht="12.75">
      <c r="A43" s="323"/>
      <c r="B43" s="323"/>
      <c r="C43" s="323"/>
      <c r="D43" s="323"/>
      <c r="E43" s="323"/>
      <c r="F43" s="323"/>
      <c r="G43"/>
    </row>
    <row r="44" spans="1:7" ht="12.75">
      <c r="A44" s="323"/>
      <c r="B44" s="323"/>
      <c r="C44" s="323"/>
      <c r="D44" s="323"/>
      <c r="E44" s="323"/>
      <c r="F44" s="323"/>
      <c r="G44"/>
    </row>
    <row r="45" spans="1:7" ht="12.75">
      <c r="A45" s="323"/>
      <c r="B45" s="323"/>
      <c r="C45" s="323"/>
      <c r="D45" s="323"/>
      <c r="E45" s="323"/>
      <c r="F45" s="323"/>
      <c r="G45"/>
    </row>
    <row r="46" spans="1:7" ht="12.75">
      <c r="A46" s="323"/>
      <c r="B46" s="323"/>
      <c r="C46" s="323"/>
      <c r="D46" s="323"/>
      <c r="E46" s="323"/>
      <c r="F46" s="323"/>
      <c r="G46"/>
    </row>
    <row r="47" spans="1:7" ht="12.75">
      <c r="A47" s="323"/>
      <c r="B47" s="323"/>
      <c r="C47" s="323"/>
      <c r="D47" s="323"/>
      <c r="E47" s="323"/>
      <c r="F47" s="323"/>
      <c r="G47"/>
    </row>
    <row r="48" spans="1:7" ht="12.75">
      <c r="A48" s="323"/>
      <c r="B48" s="323"/>
      <c r="C48" s="323"/>
      <c r="D48" s="323"/>
      <c r="E48" s="323"/>
      <c r="F48" s="323"/>
      <c r="G48"/>
    </row>
    <row r="49" spans="1:7" ht="12.75">
      <c r="A49" s="323"/>
      <c r="B49" s="323"/>
      <c r="C49" s="323"/>
      <c r="D49" s="323"/>
      <c r="E49" s="323"/>
      <c r="F49" s="323"/>
      <c r="G49"/>
    </row>
    <row r="50" spans="1:7" ht="12.75">
      <c r="A50" s="323"/>
      <c r="B50" s="323"/>
      <c r="C50" s="323"/>
      <c r="D50" s="323"/>
      <c r="E50" s="323"/>
      <c r="F50" s="323"/>
      <c r="G50"/>
    </row>
    <row r="51" spans="1:7" ht="12.75">
      <c r="A51" s="323"/>
      <c r="B51" s="323"/>
      <c r="C51" s="323"/>
      <c r="D51" s="323"/>
      <c r="E51" s="323"/>
      <c r="F51" s="323"/>
      <c r="G51"/>
    </row>
    <row r="52" spans="1:7" ht="12.75">
      <c r="A52" s="323"/>
      <c r="B52" s="323"/>
      <c r="C52" s="323"/>
      <c r="D52" s="323"/>
      <c r="E52" s="323"/>
      <c r="F52" s="323"/>
      <c r="G52"/>
    </row>
    <row r="53" spans="1:7" ht="12.75">
      <c r="A53" s="323"/>
      <c r="B53" s="323"/>
      <c r="C53" s="323"/>
      <c r="D53" s="323"/>
      <c r="E53" s="323"/>
      <c r="F53" s="323"/>
      <c r="G53"/>
    </row>
    <row r="54" spans="1:7" ht="12.75">
      <c r="A54" s="323"/>
      <c r="B54" s="323"/>
      <c r="C54" s="323"/>
      <c r="D54" s="323"/>
      <c r="E54" s="323"/>
      <c r="F54" s="323"/>
      <c r="G54"/>
    </row>
    <row r="55" spans="1:7" ht="12.75">
      <c r="A55" s="323"/>
      <c r="B55" s="323"/>
      <c r="C55" s="323"/>
      <c r="D55" s="323"/>
      <c r="E55" s="323"/>
      <c r="F55" s="323"/>
      <c r="G55"/>
    </row>
    <row r="56" spans="1:7" ht="12.75">
      <c r="A56" s="323"/>
      <c r="B56" s="323"/>
      <c r="C56" s="323"/>
      <c r="D56" s="323"/>
      <c r="E56" s="323"/>
      <c r="F56" s="323"/>
      <c r="G56"/>
    </row>
    <row r="57" spans="1:7" ht="12.75">
      <c r="A57" s="323"/>
      <c r="B57" s="323"/>
      <c r="C57" s="323"/>
      <c r="D57" s="323"/>
      <c r="E57" s="323"/>
      <c r="F57" s="323"/>
      <c r="G57"/>
    </row>
    <row r="58" spans="1:7" ht="12.75">
      <c r="A58" s="323"/>
      <c r="B58" s="323"/>
      <c r="C58" s="323"/>
      <c r="D58" s="323"/>
      <c r="E58" s="323"/>
      <c r="F58" s="329" t="s">
        <v>235</v>
      </c>
      <c r="G58"/>
    </row>
    <row r="59" spans="1:7" ht="12.75">
      <c r="A59" s="323"/>
      <c r="B59" s="323"/>
      <c r="C59" s="323"/>
      <c r="D59" s="323"/>
      <c r="E59" s="323"/>
      <c r="F59" s="329"/>
      <c r="G59"/>
    </row>
    <row r="60" spans="1:7" ht="12.75">
      <c r="A60" s="323"/>
      <c r="B60" s="323"/>
      <c r="C60" s="323"/>
      <c r="D60" s="323"/>
      <c r="E60" s="323"/>
      <c r="F60" s="323"/>
      <c r="G60"/>
    </row>
    <row r="61" spans="1:7" ht="12.75">
      <c r="A61" s="375" t="s">
        <v>237</v>
      </c>
      <c r="B61" s="376"/>
      <c r="C61" s="376"/>
      <c r="D61" s="376"/>
      <c r="E61" s="376"/>
      <c r="F61" s="377"/>
      <c r="G61"/>
    </row>
    <row r="62" spans="1:7" ht="12.75">
      <c r="A62" s="339"/>
      <c r="B62" s="340" t="s">
        <v>228</v>
      </c>
      <c r="C62" s="340" t="s">
        <v>229</v>
      </c>
      <c r="D62" s="340" t="s">
        <v>230</v>
      </c>
      <c r="E62" s="340" t="s">
        <v>231</v>
      </c>
      <c r="F62" s="341" t="s">
        <v>232</v>
      </c>
      <c r="G62"/>
    </row>
    <row r="63" spans="1:7" ht="12.75">
      <c r="A63" s="339" t="s">
        <v>233</v>
      </c>
      <c r="B63" s="342">
        <f>B29</f>
        <v>12780.009666666669</v>
      </c>
      <c r="C63" s="342">
        <f>B63+$B$29</f>
        <v>25560.019333333337</v>
      </c>
      <c r="D63" s="342">
        <f>C63+$B$29</f>
        <v>38340.02900000001</v>
      </c>
      <c r="E63" s="342">
        <f>D63+$B$29</f>
        <v>51120.038666666675</v>
      </c>
      <c r="F63" s="343">
        <f>E63+$B$29</f>
        <v>63900.04833333334</v>
      </c>
      <c r="G63"/>
    </row>
    <row r="64" spans="1:7" ht="12.75">
      <c r="A64" s="339" t="s">
        <v>234</v>
      </c>
      <c r="B64" s="342">
        <f>A29</f>
        <v>24897.873000000003</v>
      </c>
      <c r="C64" s="342">
        <f>B64+$A$29</f>
        <v>49795.74600000001</v>
      </c>
      <c r="D64" s="342">
        <f>C64+$A$29</f>
        <v>74693.619</v>
      </c>
      <c r="E64" s="342">
        <f>D64+$A$29</f>
        <v>99591.49200000001</v>
      </c>
      <c r="F64" s="343">
        <f>E64+$A$29</f>
        <v>124489.36500000002</v>
      </c>
      <c r="G64"/>
    </row>
    <row r="65" spans="1:7" ht="12.75">
      <c r="A65" s="339"/>
      <c r="B65" s="344"/>
      <c r="C65" s="344"/>
      <c r="D65" s="344"/>
      <c r="E65" s="344"/>
      <c r="F65" s="345"/>
      <c r="G65"/>
    </row>
    <row r="66" spans="1:6" ht="12.75">
      <c r="A66" s="346" t="s">
        <v>236</v>
      </c>
      <c r="B66" s="349">
        <f>F6+F7</f>
        <v>110</v>
      </c>
      <c r="C66" s="347"/>
      <c r="D66" s="347"/>
      <c r="E66" s="347"/>
      <c r="F66" s="348"/>
    </row>
    <row r="67" spans="1:6" ht="12.75">
      <c r="A67" s="330"/>
      <c r="B67" s="330"/>
      <c r="C67" s="330"/>
      <c r="D67" s="330"/>
      <c r="E67" s="330"/>
      <c r="F67" s="330"/>
    </row>
    <row r="68" spans="1:6" ht="12.75">
      <c r="A68" s="330"/>
      <c r="B68" s="330"/>
      <c r="D68" s="330"/>
      <c r="E68" s="330"/>
      <c r="F68" s="330"/>
    </row>
    <row r="69" spans="1:6" ht="12.75">
      <c r="A69" s="330"/>
      <c r="B69" s="330"/>
      <c r="C69" s="330"/>
      <c r="D69" s="330"/>
      <c r="E69" s="330"/>
      <c r="F69" s="330"/>
    </row>
    <row r="70" spans="1:6" ht="12.75">
      <c r="A70" s="330"/>
      <c r="B70" s="330"/>
      <c r="C70" s="330"/>
      <c r="D70" s="330"/>
      <c r="E70" s="330"/>
      <c r="F70" s="330"/>
    </row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</sheetData>
  <sheetProtection sheet="1" objects="1" scenarios="1"/>
  <mergeCells count="3">
    <mergeCell ref="A61:F61"/>
    <mergeCell ref="C3:F3"/>
    <mergeCell ref="A1:F1"/>
  </mergeCells>
  <printOptions horizontalCentered="1"/>
  <pageMargins left="0.53" right="0.37" top="0.75" bottom="0.49" header="0.5" footer="7"/>
  <pageSetup fitToHeight="1" fitToWidth="1" horizontalDpi="600" verticalDpi="600" orientation="portrait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46"/>
  <sheetViews>
    <sheetView workbookViewId="0" topLeftCell="A1">
      <selection activeCell="C34" sqref="C34"/>
    </sheetView>
  </sheetViews>
  <sheetFormatPr defaultColWidth="9.33203125" defaultRowHeight="12.75"/>
  <cols>
    <col min="1" max="1" width="18.16015625" style="0" customWidth="1"/>
    <col min="2" max="2" width="14.66015625" style="0" customWidth="1"/>
    <col min="3" max="3" width="18.16015625" style="0" customWidth="1"/>
    <col min="4" max="4" width="20.83203125" style="0" customWidth="1"/>
    <col min="5" max="5" width="8.83203125" style="0" customWidth="1"/>
    <col min="6" max="6" width="15.83203125" style="0" customWidth="1"/>
    <col min="7" max="7" width="18.16015625" style="0" customWidth="1"/>
    <col min="8" max="8" width="24.5" style="0" customWidth="1"/>
    <col min="9" max="9" width="12.66015625" style="0" customWidth="1"/>
    <col min="10" max="10" width="10.16015625" style="0" customWidth="1"/>
    <col min="11" max="11" width="15.83203125" style="0" customWidth="1"/>
    <col min="12" max="12" width="16" style="0" customWidth="1"/>
    <col min="13" max="13" width="17.16015625" style="0" customWidth="1"/>
    <col min="14" max="14" width="12.33203125" style="0" customWidth="1"/>
    <col min="15" max="16" width="10.16015625" style="0" customWidth="1"/>
    <col min="17" max="17" width="25.83203125" style="0" customWidth="1"/>
    <col min="18" max="19" width="10.16015625" style="0" customWidth="1"/>
    <col min="20" max="20" width="11.66015625" style="0" customWidth="1"/>
    <col min="21" max="23" width="10.16015625" style="0" customWidth="1"/>
    <col min="24" max="24" width="12.16015625" style="0" customWidth="1"/>
    <col min="25" max="25" width="10.16015625" style="0" customWidth="1"/>
    <col min="26" max="26" width="10.66015625" style="2" customWidth="1"/>
    <col min="27" max="27" width="15" style="0" customWidth="1"/>
    <col min="28" max="28" width="13.33203125" style="0" customWidth="1"/>
    <col min="29" max="30" width="10.16015625" style="0" customWidth="1"/>
    <col min="31" max="31" width="12" style="0" customWidth="1"/>
    <col min="32" max="32" width="24.83203125" style="0" customWidth="1"/>
    <col min="33" max="16384" width="10.16015625" style="0" customWidth="1"/>
  </cols>
  <sheetData>
    <row r="1" spans="1:6" ht="16.5" thickBot="1">
      <c r="A1" s="304" t="s">
        <v>0</v>
      </c>
      <c r="B1" s="305"/>
      <c r="C1" s="305"/>
      <c r="D1" s="305"/>
      <c r="E1" s="305"/>
      <c r="F1" s="306"/>
    </row>
    <row r="2" spans="1:6" ht="12.7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</row>
    <row r="3" spans="1:6" ht="12.75">
      <c r="A3" s="7" t="s">
        <v>6</v>
      </c>
      <c r="B3" s="307">
        <f>Summary!$F$6</f>
        <v>100</v>
      </c>
      <c r="C3" s="8">
        <v>168</v>
      </c>
      <c r="D3" s="308">
        <f>Summary!$F$5</f>
        <v>70</v>
      </c>
      <c r="E3" s="9">
        <f>IF(OR(ISBLANK(B3),ISBLANK(C3),ISBLANK(D3)),0,IF(D3&lt;&gt;168,((168-D3)/($D$13+$D$14))*$D$14,0))</f>
        <v>16.333333333333336</v>
      </c>
      <c r="F3" s="10"/>
    </row>
    <row r="4" spans="1:6" ht="12.75">
      <c r="A4" s="11" t="s">
        <v>7</v>
      </c>
      <c r="B4" s="8"/>
      <c r="C4" s="8"/>
      <c r="D4" s="8"/>
      <c r="E4" s="9">
        <f>IF(OR(ISBLANK(B4),ISBLANK(C4),ISBLANK(D4)),0,IF(D4&lt;&gt;168,((168-D4)/($D$13+$D$14))*$D$14,0))</f>
        <v>0</v>
      </c>
      <c r="F4" s="10"/>
    </row>
    <row r="5" spans="1:6" ht="13.5" thickBot="1">
      <c r="A5" s="12" t="s">
        <v>8</v>
      </c>
      <c r="B5" s="13"/>
      <c r="C5" s="14"/>
      <c r="D5" s="14"/>
      <c r="E5" s="15">
        <f>IF(OR(ISBLANK(B5),ISBLANK(C5),ISBLANK(D5)),0,IF(D5&lt;&gt;168,((168-D5)/($D$13+$D$14))*$D$14,0))</f>
        <v>0</v>
      </c>
      <c r="F5" s="16"/>
    </row>
    <row r="6" spans="1:4" ht="13.5" thickBot="1">
      <c r="A6" s="17" t="s">
        <v>9</v>
      </c>
      <c r="B6" s="18">
        <f>SUM(B3:B5)</f>
        <v>100</v>
      </c>
      <c r="C6" s="19"/>
      <c r="D6" s="19"/>
    </row>
    <row r="7" spans="1:4" ht="13.5" thickBot="1">
      <c r="A7" s="17" t="s">
        <v>10</v>
      </c>
      <c r="B7" s="20">
        <f>IF(C3=0,0,(B3/B6)*(1-((D3+E3)/C3)))+IF(C4=0,0,(B4/B6)*(1-((D4+E4)/C4)))+IF(C5=0,0,((B5/B6)*(1-((D5+E5)/C5))))</f>
        <v>0.48611111111111105</v>
      </c>
      <c r="C7" s="19"/>
      <c r="D7" s="19"/>
    </row>
    <row r="8" spans="1:4" ht="13.5" thickBot="1">
      <c r="A8" s="19"/>
      <c r="B8" s="21"/>
      <c r="C8" s="19"/>
      <c r="D8" s="19"/>
    </row>
    <row r="9" spans="1:8" ht="12.75">
      <c r="A9" s="22" t="s">
        <v>11</v>
      </c>
      <c r="B9" s="23"/>
      <c r="C9" s="23"/>
      <c r="D9" s="24">
        <f>Summary!$F$4</f>
        <v>0.065</v>
      </c>
      <c r="G9" s="1"/>
      <c r="H9" s="25"/>
    </row>
    <row r="10" spans="1:4" ht="12.75">
      <c r="A10" s="26" t="s">
        <v>12</v>
      </c>
      <c r="B10" s="27"/>
      <c r="C10" s="27"/>
      <c r="D10" s="28">
        <v>2</v>
      </c>
    </row>
    <row r="11" spans="1:4" ht="12.75">
      <c r="A11" s="26" t="s">
        <v>13</v>
      </c>
      <c r="B11" s="27"/>
      <c r="C11" s="27"/>
      <c r="D11" s="29">
        <v>2</v>
      </c>
    </row>
    <row r="12" spans="1:4" ht="12.75">
      <c r="A12" s="26" t="s">
        <v>14</v>
      </c>
      <c r="B12" s="27"/>
      <c r="C12" s="27"/>
      <c r="D12" s="29">
        <v>30</v>
      </c>
    </row>
    <row r="13" spans="1:7" ht="12.75">
      <c r="A13" s="26" t="s">
        <v>15</v>
      </c>
      <c r="B13" s="27"/>
      <c r="C13" s="27"/>
      <c r="D13" s="29">
        <v>2</v>
      </c>
      <c r="F13" s="319"/>
      <c r="G13" s="30"/>
    </row>
    <row r="14" spans="1:4" ht="12.75">
      <c r="A14" s="26" t="s">
        <v>16</v>
      </c>
      <c r="B14" s="27"/>
      <c r="C14" s="27"/>
      <c r="D14" s="28">
        <v>0.4</v>
      </c>
    </row>
    <row r="15" spans="1:4" ht="13.5" thickBot="1">
      <c r="A15" s="31" t="s">
        <v>17</v>
      </c>
      <c r="B15" s="32"/>
      <c r="C15" s="32"/>
      <c r="D15" s="320">
        <f>Summary!$F$8/120</f>
        <v>3.558333333333333</v>
      </c>
    </row>
    <row r="16" spans="1:4" ht="12.75">
      <c r="A16" s="33"/>
      <c r="B16" s="27"/>
      <c r="C16" s="27"/>
      <c r="D16" s="34"/>
    </row>
    <row r="17" spans="1:4" ht="13.5" thickBot="1">
      <c r="A17" s="35" t="s">
        <v>19</v>
      </c>
      <c r="B17" s="36"/>
      <c r="C17" s="37"/>
      <c r="D17" s="38">
        <f>Summary!$F$10</f>
        <v>179</v>
      </c>
    </row>
    <row r="18" ht="13.5" thickBot="1">
      <c r="Z18"/>
    </row>
    <row r="19" spans="1:4" ht="12.75">
      <c r="A19" s="39" t="s">
        <v>20</v>
      </c>
      <c r="B19" s="40"/>
      <c r="C19" s="41"/>
      <c r="D19" s="34"/>
    </row>
    <row r="20" spans="1:4" ht="12.75">
      <c r="A20" s="42" t="s">
        <v>21</v>
      </c>
      <c r="B20" s="43"/>
      <c r="C20" s="44">
        <f>$I$70/$I$61*12</f>
        <v>18.22809213418361</v>
      </c>
      <c r="D20" s="34"/>
    </row>
    <row r="21" spans="1:4" ht="12.75">
      <c r="A21" s="45" t="s">
        <v>22</v>
      </c>
      <c r="B21" s="46"/>
      <c r="C21" s="47">
        <f>$I$61*1-$I$70</f>
        <v>-6115.991096666665</v>
      </c>
      <c r="D21" s="34"/>
    </row>
    <row r="22" spans="1:4" ht="13.5" thickBot="1">
      <c r="A22" s="48" t="s">
        <v>23</v>
      </c>
      <c r="B22" s="49"/>
      <c r="C22" s="50">
        <f>$I$61*1/$I$70</f>
        <v>0.6583245197392925</v>
      </c>
      <c r="D22" s="34"/>
    </row>
    <row r="24" spans="1:26" ht="19.5">
      <c r="A24" s="51" t="s">
        <v>24</v>
      </c>
      <c r="B24" s="52"/>
      <c r="C24" s="52"/>
      <c r="D24" s="53"/>
      <c r="E24" s="53"/>
      <c r="F24" s="52"/>
      <c r="G24" s="52"/>
      <c r="H24" s="52"/>
      <c r="I24" s="52"/>
      <c r="J24" s="54"/>
      <c r="Z24"/>
    </row>
    <row r="25" spans="1:26" ht="12.75">
      <c r="A25" s="55" t="s">
        <v>25</v>
      </c>
      <c r="B25" s="52"/>
      <c r="C25" s="52"/>
      <c r="D25" s="52"/>
      <c r="E25" s="53"/>
      <c r="F25" s="56"/>
      <c r="G25" s="52"/>
      <c r="H25" s="52"/>
      <c r="I25" s="52"/>
      <c r="J25" s="57"/>
      <c r="Z25"/>
    </row>
    <row r="26" spans="1:26" ht="16.5" thickBot="1">
      <c r="A26" s="58" t="s">
        <v>26</v>
      </c>
      <c r="B26" s="59"/>
      <c r="C26" s="59"/>
      <c r="D26" s="60"/>
      <c r="E26" s="60"/>
      <c r="F26" s="60"/>
      <c r="G26" s="60"/>
      <c r="H26" s="60"/>
      <c r="I26" s="60"/>
      <c r="J26" s="61"/>
      <c r="Z26"/>
    </row>
    <row r="27" spans="1:26" ht="16.5" thickBot="1">
      <c r="A27" s="62"/>
      <c r="B27" s="63"/>
      <c r="C27" s="64"/>
      <c r="D27" s="62"/>
      <c r="E27" s="62"/>
      <c r="F27" s="65" t="s">
        <v>27</v>
      </c>
      <c r="G27" s="66"/>
      <c r="H27" s="66"/>
      <c r="I27" s="67"/>
      <c r="J27" s="61"/>
      <c r="Z27"/>
    </row>
    <row r="28" spans="1:26" ht="12.75">
      <c r="A28" s="60"/>
      <c r="B28" s="68" t="s">
        <v>194</v>
      </c>
      <c r="C28" s="69"/>
      <c r="D28" s="70"/>
      <c r="E28" s="62"/>
      <c r="F28" s="71" t="s">
        <v>11</v>
      </c>
      <c r="G28" s="72"/>
      <c r="H28" s="72"/>
      <c r="I28" s="73">
        <f>D9</f>
        <v>0.065</v>
      </c>
      <c r="J28" s="61"/>
      <c r="Z28"/>
    </row>
    <row r="29" spans="1:26" ht="12.75">
      <c r="A29" s="60"/>
      <c r="B29" s="74" t="s">
        <v>195</v>
      </c>
      <c r="C29" s="75"/>
      <c r="D29" s="76"/>
      <c r="E29" s="62"/>
      <c r="F29" s="71" t="s">
        <v>28</v>
      </c>
      <c r="G29" s="72"/>
      <c r="H29" s="72"/>
      <c r="I29" s="77">
        <f>D13</f>
        <v>2</v>
      </c>
      <c r="J29" s="61"/>
      <c r="Z29"/>
    </row>
    <row r="30" spans="1:26" ht="12.75">
      <c r="A30" s="60"/>
      <c r="B30" s="74" t="s">
        <v>196</v>
      </c>
      <c r="C30" s="75"/>
      <c r="D30" s="76"/>
      <c r="E30" s="62"/>
      <c r="F30" s="71" t="s">
        <v>29</v>
      </c>
      <c r="G30" s="72"/>
      <c r="H30" s="72"/>
      <c r="I30" s="78">
        <f>D14</f>
        <v>0.4</v>
      </c>
      <c r="J30" s="61"/>
      <c r="Z30"/>
    </row>
    <row r="31" spans="1:26" ht="12.75">
      <c r="A31" s="60"/>
      <c r="B31" s="74"/>
      <c r="C31" s="75"/>
      <c r="D31" s="76"/>
      <c r="E31" s="62"/>
      <c r="F31" s="71" t="s">
        <v>12</v>
      </c>
      <c r="G31" s="72"/>
      <c r="H31" s="72"/>
      <c r="I31" s="78">
        <f>D10</f>
        <v>2</v>
      </c>
      <c r="J31" s="61"/>
      <c r="Z31"/>
    </row>
    <row r="32" spans="1:26" ht="12.75" customHeight="1" thickBot="1">
      <c r="A32" s="60"/>
      <c r="B32" s="79"/>
      <c r="C32" s="80"/>
      <c r="D32" s="81"/>
      <c r="E32" s="62"/>
      <c r="F32" s="71" t="s">
        <v>13</v>
      </c>
      <c r="G32" s="72"/>
      <c r="H32" s="72"/>
      <c r="I32" s="82">
        <f>D11</f>
        <v>2</v>
      </c>
      <c r="J32" s="61"/>
      <c r="Z32"/>
    </row>
    <row r="33" spans="1:26" ht="12.75" customHeight="1">
      <c r="A33" s="60"/>
      <c r="B33" s="83"/>
      <c r="C33" s="75"/>
      <c r="D33" s="84"/>
      <c r="E33" s="62"/>
      <c r="F33" s="71" t="s">
        <v>30</v>
      </c>
      <c r="G33" s="72"/>
      <c r="H33" s="72"/>
      <c r="I33" s="82">
        <f>D12</f>
        <v>30</v>
      </c>
      <c r="J33" s="61"/>
      <c r="Z33"/>
    </row>
    <row r="34" spans="1:26" ht="12.75" customHeight="1" thickBot="1">
      <c r="A34" s="60"/>
      <c r="B34" s="83"/>
      <c r="C34" s="75"/>
      <c r="D34" s="84"/>
      <c r="E34" s="62"/>
      <c r="F34" s="85" t="s">
        <v>17</v>
      </c>
      <c r="G34" s="86"/>
      <c r="H34" s="86"/>
      <c r="I34" s="87">
        <f>D15</f>
        <v>3.558333333333333</v>
      </c>
      <c r="J34" s="61"/>
      <c r="Z34"/>
    </row>
    <row r="35" spans="1:26" ht="13.5" thickBot="1">
      <c r="A35" s="61"/>
      <c r="B35" s="88"/>
      <c r="C35" s="61"/>
      <c r="D35" s="61"/>
      <c r="E35" s="89"/>
      <c r="F35" s="61"/>
      <c r="G35" s="90"/>
      <c r="H35" s="91"/>
      <c r="I35" s="61"/>
      <c r="J35" s="61"/>
      <c r="Z35"/>
    </row>
    <row r="36" spans="1:26" ht="13.5" thickBot="1">
      <c r="A36" s="92"/>
      <c r="B36" s="93"/>
      <c r="C36" s="93"/>
      <c r="D36" s="93"/>
      <c r="E36" s="93"/>
      <c r="F36" s="93"/>
      <c r="G36" s="93"/>
      <c r="H36" s="93"/>
      <c r="I36" s="93"/>
      <c r="J36" s="94"/>
      <c r="Z36"/>
    </row>
    <row r="37" spans="1:26" ht="12.75">
      <c r="A37" s="95"/>
      <c r="B37" s="96" t="s">
        <v>31</v>
      </c>
      <c r="C37" s="97"/>
      <c r="D37" s="98"/>
      <c r="E37" s="99"/>
      <c r="F37" s="60"/>
      <c r="G37" s="65" t="s">
        <v>32</v>
      </c>
      <c r="H37" s="100"/>
      <c r="I37" s="101"/>
      <c r="J37" s="102"/>
      <c r="Z37"/>
    </row>
    <row r="38" spans="1:26" ht="12.75">
      <c r="A38" s="95"/>
      <c r="B38" s="103" t="s">
        <v>33</v>
      </c>
      <c r="C38" s="104"/>
      <c r="D38" s="105"/>
      <c r="E38" s="106">
        <f>B3</f>
        <v>100</v>
      </c>
      <c r="F38" s="107">
        <f>IF(E39&gt;0,IF(E40&gt;0,E38,0),0)</f>
        <v>100</v>
      </c>
      <c r="G38" s="108" t="s">
        <v>34</v>
      </c>
      <c r="H38" s="109"/>
      <c r="I38" s="110">
        <f>C89</f>
        <v>24330.033000000003</v>
      </c>
      <c r="J38" s="102"/>
      <c r="Z38"/>
    </row>
    <row r="39" spans="1:26" ht="12.75">
      <c r="A39" s="95"/>
      <c r="B39" s="111" t="s">
        <v>35</v>
      </c>
      <c r="C39" s="112"/>
      <c r="D39" s="113"/>
      <c r="E39" s="114">
        <f>C3</f>
        <v>168</v>
      </c>
      <c r="F39" s="60"/>
      <c r="G39" s="115" t="s">
        <v>36</v>
      </c>
      <c r="H39" s="112"/>
      <c r="I39" s="116">
        <f>C131</f>
        <v>12543.409666666668</v>
      </c>
      <c r="J39" s="102"/>
      <c r="Z39"/>
    </row>
    <row r="40" spans="1:26" ht="13.5" thickBot="1">
      <c r="A40" s="95"/>
      <c r="B40" s="111" t="s">
        <v>37</v>
      </c>
      <c r="C40" s="112"/>
      <c r="D40" s="113"/>
      <c r="E40" s="114">
        <f>D3</f>
        <v>70</v>
      </c>
      <c r="F40" s="60"/>
      <c r="G40" s="117" t="s">
        <v>38</v>
      </c>
      <c r="H40" s="118"/>
      <c r="I40" s="119">
        <f>I38-I39</f>
        <v>11786.623333333335</v>
      </c>
      <c r="J40" s="102"/>
      <c r="Z40"/>
    </row>
    <row r="41" spans="1:41" ht="12.75">
      <c r="A41" s="95"/>
      <c r="B41" s="120" t="s">
        <v>39</v>
      </c>
      <c r="C41" s="121"/>
      <c r="D41" s="122"/>
      <c r="E41" s="123">
        <f>E3</f>
        <v>16.333333333333336</v>
      </c>
      <c r="F41" s="60"/>
      <c r="G41" s="124"/>
      <c r="H41" s="112"/>
      <c r="I41" s="125"/>
      <c r="J41" s="102"/>
      <c r="Z41"/>
      <c r="AO41" s="2"/>
    </row>
    <row r="42" spans="1:26" ht="13.5" thickBot="1">
      <c r="A42" s="95"/>
      <c r="B42" s="60"/>
      <c r="C42" s="60"/>
      <c r="D42" s="60"/>
      <c r="E42" s="60"/>
      <c r="F42" s="60"/>
      <c r="G42" s="60"/>
      <c r="H42" s="60"/>
      <c r="I42" s="60"/>
      <c r="J42" s="102"/>
      <c r="Z42"/>
    </row>
    <row r="43" spans="1:26" ht="12.75">
      <c r="A43" s="95"/>
      <c r="B43" s="96" t="s">
        <v>40</v>
      </c>
      <c r="C43" s="97"/>
      <c r="D43" s="98"/>
      <c r="E43" s="99"/>
      <c r="F43" s="60"/>
      <c r="G43" s="65" t="s">
        <v>41</v>
      </c>
      <c r="H43" s="100"/>
      <c r="I43" s="101"/>
      <c r="J43" s="102"/>
      <c r="Z43"/>
    </row>
    <row r="44" spans="1:26" ht="12.75">
      <c r="A44" s="95"/>
      <c r="B44" s="103" t="s">
        <v>33</v>
      </c>
      <c r="C44" s="104"/>
      <c r="D44" s="105"/>
      <c r="E44" s="106">
        <f>B4</f>
        <v>0</v>
      </c>
      <c r="F44" s="107">
        <f>IF(E45&gt;0,IF(E46&gt;0,E44,0),0)</f>
        <v>0</v>
      </c>
      <c r="G44" s="108" t="s">
        <v>34</v>
      </c>
      <c r="H44" s="109"/>
      <c r="I44" s="110">
        <f>C101</f>
        <v>0</v>
      </c>
      <c r="J44" s="102"/>
      <c r="Z44"/>
    </row>
    <row r="45" spans="1:26" ht="12.75">
      <c r="A45" s="95"/>
      <c r="B45" s="111" t="s">
        <v>35</v>
      </c>
      <c r="C45" s="112"/>
      <c r="D45" s="113"/>
      <c r="E45" s="114">
        <f>C4</f>
        <v>0</v>
      </c>
      <c r="F45" s="112"/>
      <c r="G45" s="115" t="s">
        <v>36</v>
      </c>
      <c r="H45" s="112"/>
      <c r="I45" s="116">
        <f>C143</f>
        <v>0</v>
      </c>
      <c r="J45" s="102"/>
      <c r="Z45"/>
    </row>
    <row r="46" spans="1:26" ht="13.5" thickBot="1">
      <c r="A46" s="95"/>
      <c r="B46" s="111" t="s">
        <v>37</v>
      </c>
      <c r="C46" s="112"/>
      <c r="D46" s="113"/>
      <c r="E46" s="114">
        <f>D4</f>
        <v>0</v>
      </c>
      <c r="F46" s="60"/>
      <c r="G46" s="117" t="s">
        <v>38</v>
      </c>
      <c r="H46" s="118"/>
      <c r="I46" s="119">
        <f>I44-I45</f>
        <v>0</v>
      </c>
      <c r="J46" s="102"/>
      <c r="Z46"/>
    </row>
    <row r="47" spans="1:26" ht="12.75">
      <c r="A47" s="95"/>
      <c r="B47" s="120" t="s">
        <v>39</v>
      </c>
      <c r="C47" s="121"/>
      <c r="D47" s="122"/>
      <c r="E47" s="123">
        <f>E4</f>
        <v>0</v>
      </c>
      <c r="F47" s="60"/>
      <c r="G47" s="124"/>
      <c r="H47" s="112"/>
      <c r="I47" s="125"/>
      <c r="J47" s="102"/>
      <c r="Z47"/>
    </row>
    <row r="48" spans="1:26" ht="13.5" thickBot="1">
      <c r="A48" s="95"/>
      <c r="B48" s="60"/>
      <c r="C48" s="60"/>
      <c r="D48" s="60"/>
      <c r="E48" s="60"/>
      <c r="F48" s="60"/>
      <c r="G48" s="60"/>
      <c r="H48" s="60"/>
      <c r="I48" s="60"/>
      <c r="J48" s="102"/>
      <c r="Z48"/>
    </row>
    <row r="49" spans="1:26" ht="12.75">
      <c r="A49" s="95"/>
      <c r="B49" s="96" t="s">
        <v>42</v>
      </c>
      <c r="C49" s="97"/>
      <c r="D49" s="98"/>
      <c r="E49" s="99"/>
      <c r="F49" s="60"/>
      <c r="G49" s="65" t="s">
        <v>43</v>
      </c>
      <c r="H49" s="100"/>
      <c r="I49" s="101"/>
      <c r="J49" s="102"/>
      <c r="Z49"/>
    </row>
    <row r="50" spans="1:26" ht="12.75">
      <c r="A50" s="95"/>
      <c r="B50" s="103" t="s">
        <v>33</v>
      </c>
      <c r="C50" s="104"/>
      <c r="D50" s="105"/>
      <c r="E50" s="106">
        <f>B5</f>
        <v>0</v>
      </c>
      <c r="F50" s="107">
        <f>IF(E51&gt;0,IF(E52&gt;0,E50,0),0)</f>
        <v>0</v>
      </c>
      <c r="G50" s="108" t="s">
        <v>34</v>
      </c>
      <c r="H50" s="109"/>
      <c r="I50" s="110">
        <f>C113</f>
        <v>0</v>
      </c>
      <c r="J50" s="102"/>
      <c r="Z50"/>
    </row>
    <row r="51" spans="1:26" ht="12.75">
      <c r="A51" s="95"/>
      <c r="B51" s="111" t="s">
        <v>35</v>
      </c>
      <c r="C51" s="112"/>
      <c r="D51" s="113"/>
      <c r="E51" s="114">
        <f>C5</f>
        <v>0</v>
      </c>
      <c r="F51" s="60"/>
      <c r="G51" s="115" t="s">
        <v>36</v>
      </c>
      <c r="H51" s="112"/>
      <c r="I51" s="116">
        <f>C155</f>
        <v>0</v>
      </c>
      <c r="J51" s="102"/>
      <c r="Z51"/>
    </row>
    <row r="52" spans="1:26" ht="13.5" thickBot="1">
      <c r="A52" s="95"/>
      <c r="B52" s="111" t="s">
        <v>37</v>
      </c>
      <c r="C52" s="112"/>
      <c r="D52" s="113"/>
      <c r="E52" s="114">
        <f>D5</f>
        <v>0</v>
      </c>
      <c r="F52" s="60"/>
      <c r="G52" s="117" t="s">
        <v>38</v>
      </c>
      <c r="H52" s="118"/>
      <c r="I52" s="119">
        <f>I50-I51</f>
        <v>0</v>
      </c>
      <c r="J52" s="102"/>
      <c r="Z52"/>
    </row>
    <row r="53" spans="1:26" ht="12.75">
      <c r="A53" s="95"/>
      <c r="B53" s="120" t="s">
        <v>39</v>
      </c>
      <c r="C53" s="121"/>
      <c r="D53" s="122"/>
      <c r="E53" s="123">
        <f>E5</f>
        <v>0</v>
      </c>
      <c r="F53" s="60"/>
      <c r="G53" s="126"/>
      <c r="H53" s="127"/>
      <c r="I53" s="128"/>
      <c r="J53" s="102"/>
      <c r="Z53"/>
    </row>
    <row r="54" spans="1:26" ht="13.5" thickBot="1">
      <c r="A54" s="129"/>
      <c r="B54" s="130"/>
      <c r="C54" s="130"/>
      <c r="D54" s="130"/>
      <c r="E54" s="130"/>
      <c r="F54" s="130"/>
      <c r="G54" s="130"/>
      <c r="H54" s="130"/>
      <c r="I54" s="130"/>
      <c r="J54" s="131"/>
      <c r="Z54"/>
    </row>
    <row r="55" spans="1:26" ht="13.5" thickBot="1">
      <c r="A55" s="61"/>
      <c r="B55" s="61"/>
      <c r="C55" s="61"/>
      <c r="D55" s="61"/>
      <c r="E55" s="61"/>
      <c r="F55" s="61"/>
      <c r="G55" s="61"/>
      <c r="H55" s="61"/>
      <c r="I55" s="61"/>
      <c r="J55" s="61"/>
      <c r="Z55"/>
    </row>
    <row r="56" spans="1:26" ht="13.5" thickBot="1">
      <c r="A56" s="92"/>
      <c r="B56" s="132"/>
      <c r="C56" s="132"/>
      <c r="D56" s="132"/>
      <c r="E56" s="132"/>
      <c r="F56" s="132"/>
      <c r="G56" s="132"/>
      <c r="H56" s="132"/>
      <c r="I56" s="132"/>
      <c r="J56" s="94"/>
      <c r="Z56"/>
    </row>
    <row r="57" spans="1:26" ht="13.5" thickBot="1">
      <c r="A57" s="95"/>
      <c r="B57" s="62"/>
      <c r="C57" s="62"/>
      <c r="D57" s="62"/>
      <c r="E57" s="62"/>
      <c r="F57" s="60"/>
      <c r="G57" s="65" t="s">
        <v>44</v>
      </c>
      <c r="H57" s="100"/>
      <c r="I57" s="101"/>
      <c r="J57" s="102"/>
      <c r="Z57"/>
    </row>
    <row r="58" spans="1:26" ht="12.75">
      <c r="A58" s="95"/>
      <c r="B58" s="65" t="s">
        <v>20</v>
      </c>
      <c r="C58" s="66"/>
      <c r="D58" s="67"/>
      <c r="E58" s="62"/>
      <c r="F58" s="60"/>
      <c r="G58" s="115" t="s">
        <v>45</v>
      </c>
      <c r="H58" s="112"/>
      <c r="I58" s="116">
        <f>D205</f>
        <v>24330.033000000003</v>
      </c>
      <c r="J58" s="102"/>
      <c r="Z58"/>
    </row>
    <row r="59" spans="1:26" ht="12.75">
      <c r="A59" s="95"/>
      <c r="B59" s="108" t="s">
        <v>21</v>
      </c>
      <c r="C59" s="109"/>
      <c r="D59" s="133">
        <f>$I$70/$I$61*12</f>
        <v>18.22809213418361</v>
      </c>
      <c r="E59" s="62"/>
      <c r="F59" s="60"/>
      <c r="G59" s="115" t="s">
        <v>46</v>
      </c>
      <c r="H59" s="112"/>
      <c r="I59" s="116">
        <f>D209</f>
        <v>12543.409666666668</v>
      </c>
      <c r="J59" s="102"/>
      <c r="Z59"/>
    </row>
    <row r="60" spans="1:26" ht="12.75">
      <c r="A60" s="95"/>
      <c r="B60" s="115" t="s">
        <v>22</v>
      </c>
      <c r="C60" s="112"/>
      <c r="D60" s="134">
        <f>C229</f>
        <v>-6115.991096666665</v>
      </c>
      <c r="E60" s="62"/>
      <c r="F60" s="60"/>
      <c r="G60" s="115" t="s">
        <v>47</v>
      </c>
      <c r="H60" s="112"/>
      <c r="I60" s="135">
        <f>D212</f>
        <v>2.6144299999999996</v>
      </c>
      <c r="J60" s="102"/>
      <c r="Z60"/>
    </row>
    <row r="61" spans="1:26" ht="13.5" thickBot="1">
      <c r="A61" s="95"/>
      <c r="B61" s="117" t="s">
        <v>23</v>
      </c>
      <c r="C61" s="118"/>
      <c r="D61" s="136">
        <f>C231</f>
        <v>0.6583245197392925</v>
      </c>
      <c r="E61" s="62"/>
      <c r="F61" s="60"/>
      <c r="G61" s="115" t="s">
        <v>48</v>
      </c>
      <c r="H61" s="112"/>
      <c r="I61" s="116">
        <f>D218</f>
        <v>11784.008903333335</v>
      </c>
      <c r="J61" s="102"/>
      <c r="Z61"/>
    </row>
    <row r="62" spans="1:26" ht="13.5" thickBot="1">
      <c r="A62" s="95"/>
      <c r="B62" s="62"/>
      <c r="C62" s="62"/>
      <c r="D62" s="62"/>
      <c r="E62" s="62"/>
      <c r="F62" s="60"/>
      <c r="G62" s="115" t="s">
        <v>49</v>
      </c>
      <c r="H62" s="112"/>
      <c r="I62" s="116">
        <f>D221</f>
        <v>117.84008903333336</v>
      </c>
      <c r="J62" s="102"/>
      <c r="Z62"/>
    </row>
    <row r="63" spans="1:26" ht="13.5" thickBot="1">
      <c r="A63" s="95"/>
      <c r="B63" s="65" t="s">
        <v>50</v>
      </c>
      <c r="C63" s="66"/>
      <c r="D63" s="67"/>
      <c r="E63" s="62"/>
      <c r="F63" s="60"/>
      <c r="G63" s="117" t="s">
        <v>51</v>
      </c>
      <c r="H63" s="137"/>
      <c r="I63" s="138">
        <f>B7</f>
        <v>0.48611111111111105</v>
      </c>
      <c r="J63" s="102"/>
      <c r="Z63"/>
    </row>
    <row r="64" spans="1:26" ht="13.5" thickBot="1">
      <c r="A64" s="95"/>
      <c r="B64" s="115" t="s">
        <v>52</v>
      </c>
      <c r="C64" s="112"/>
      <c r="D64" s="134">
        <f>C236</f>
        <v>5668.01780666667</v>
      </c>
      <c r="E64" s="62"/>
      <c r="F64" s="60"/>
      <c r="J64" s="102"/>
      <c r="Z64"/>
    </row>
    <row r="65" spans="1:26" ht="13.5" thickBot="1">
      <c r="A65" s="95"/>
      <c r="B65" s="117" t="s">
        <v>23</v>
      </c>
      <c r="C65" s="118"/>
      <c r="D65" s="136">
        <f>C238</f>
        <v>1.316649039478585</v>
      </c>
      <c r="E65" s="62"/>
      <c r="F65" s="62"/>
      <c r="G65" s="139"/>
      <c r="H65" s="140" t="s">
        <v>53</v>
      </c>
      <c r="I65" s="141"/>
      <c r="J65" s="102"/>
      <c r="Z65"/>
    </row>
    <row r="66" spans="1:26" ht="13.5" thickBot="1">
      <c r="A66" s="95"/>
      <c r="B66" s="62"/>
      <c r="C66" s="62"/>
      <c r="D66" s="62"/>
      <c r="E66" s="62"/>
      <c r="F66" s="62"/>
      <c r="G66" s="71" t="s">
        <v>54</v>
      </c>
      <c r="H66" s="142"/>
      <c r="I66" s="143">
        <f>F50+F44+F38</f>
        <v>100</v>
      </c>
      <c r="J66" s="102"/>
      <c r="Z66"/>
    </row>
    <row r="67" spans="1:26" ht="12.75">
      <c r="A67" s="95"/>
      <c r="B67" s="65" t="s">
        <v>55</v>
      </c>
      <c r="C67" s="66"/>
      <c r="D67" s="67"/>
      <c r="E67" s="62"/>
      <c r="F67" s="62"/>
      <c r="G67" s="144" t="s">
        <v>56</v>
      </c>
      <c r="H67" s="62"/>
      <c r="I67" s="145" t="e">
        <f>#REF!</f>
        <v>#REF!</v>
      </c>
      <c r="J67" s="102"/>
      <c r="Z67"/>
    </row>
    <row r="68" spans="1:26" ht="12.75">
      <c r="A68" s="95"/>
      <c r="B68" s="115" t="s">
        <v>57</v>
      </c>
      <c r="C68" s="112"/>
      <c r="D68" s="146">
        <f>C243</f>
        <v>17452.026710000006</v>
      </c>
      <c r="E68" s="62"/>
      <c r="F68" s="62"/>
      <c r="G68" s="144" t="s">
        <v>18</v>
      </c>
      <c r="H68" s="62"/>
      <c r="I68" s="147" t="e">
        <f>#REF!</f>
        <v>#REF!</v>
      </c>
      <c r="J68" s="102"/>
      <c r="Z68"/>
    </row>
    <row r="69" spans="1:26" ht="13.5" thickBot="1">
      <c r="A69" s="95"/>
      <c r="B69" s="117" t="s">
        <v>23</v>
      </c>
      <c r="C69" s="118"/>
      <c r="D69" s="136">
        <f>C245</f>
        <v>1.9749735592178774</v>
      </c>
      <c r="E69" s="62"/>
      <c r="F69" s="60"/>
      <c r="G69" s="144" t="s">
        <v>58</v>
      </c>
      <c r="H69" s="148"/>
      <c r="I69" s="149">
        <f>D17</f>
        <v>179</v>
      </c>
      <c r="J69" s="102"/>
      <c r="Z69"/>
    </row>
    <row r="70" spans="1:26" ht="12.75">
      <c r="A70" s="95"/>
      <c r="B70" s="124"/>
      <c r="C70" s="112"/>
      <c r="D70" s="150"/>
      <c r="E70" s="62"/>
      <c r="F70" s="60"/>
      <c r="G70" s="71" t="s">
        <v>59</v>
      </c>
      <c r="H70" s="148"/>
      <c r="I70" s="151">
        <f>I69*I66</f>
        <v>17900</v>
      </c>
      <c r="J70" s="102"/>
      <c r="Z70"/>
    </row>
    <row r="71" spans="1:26" ht="13.5" thickBot="1">
      <c r="A71" s="95"/>
      <c r="B71" s="124"/>
      <c r="C71" s="112"/>
      <c r="D71" s="150"/>
      <c r="E71" s="62"/>
      <c r="F71" s="60"/>
      <c r="G71" s="85" t="s">
        <v>60</v>
      </c>
      <c r="H71" s="86"/>
      <c r="I71" s="152">
        <f>I60/I66</f>
        <v>0.026144299999999995</v>
      </c>
      <c r="J71" s="102"/>
      <c r="Z71"/>
    </row>
    <row r="72" spans="1:26" ht="13.5" thickBot="1">
      <c r="A72" s="129"/>
      <c r="B72" s="130"/>
      <c r="C72" s="130"/>
      <c r="D72" s="130"/>
      <c r="E72" s="130"/>
      <c r="F72" s="130"/>
      <c r="G72" s="153"/>
      <c r="H72" s="153"/>
      <c r="I72" s="153"/>
      <c r="J72" s="131"/>
      <c r="Z72"/>
    </row>
    <row r="73" spans="1:26" ht="19.5">
      <c r="A73" s="154" t="s">
        <v>61</v>
      </c>
      <c r="B73" s="155"/>
      <c r="C73" s="156"/>
      <c r="D73" s="157"/>
      <c r="E73" s="158"/>
      <c r="Z73"/>
    </row>
    <row r="74" spans="16:26" ht="13.5" thickBot="1">
      <c r="P74" s="2"/>
      <c r="Z74"/>
    </row>
    <row r="75" spans="1:26" ht="12.75">
      <c r="A75" s="159" t="s">
        <v>62</v>
      </c>
      <c r="B75" s="160"/>
      <c r="C75" s="160"/>
      <c r="D75" s="161"/>
      <c r="H75" s="159" t="s">
        <v>63</v>
      </c>
      <c r="I75" s="162"/>
      <c r="J75" s="162"/>
      <c r="K75" s="163"/>
      <c r="P75" s="2"/>
      <c r="Z75"/>
    </row>
    <row r="76" spans="1:26" ht="12.75">
      <c r="A76" s="164" t="s">
        <v>64</v>
      </c>
      <c r="B76" s="27"/>
      <c r="C76" s="165">
        <v>120</v>
      </c>
      <c r="D76" s="166" t="s">
        <v>65</v>
      </c>
      <c r="H76" s="167" t="s">
        <v>66</v>
      </c>
      <c r="J76" s="168">
        <f>$C$78</f>
        <v>427</v>
      </c>
      <c r="K76" s="169" t="s">
        <v>67</v>
      </c>
      <c r="P76" s="2"/>
      <c r="Z76"/>
    </row>
    <row r="77" spans="1:26" ht="12.75">
      <c r="A77" s="164" t="s">
        <v>68</v>
      </c>
      <c r="B77" s="27"/>
      <c r="C77" s="170">
        <f>I34</f>
        <v>3.558333333333333</v>
      </c>
      <c r="D77" s="166" t="s">
        <v>69</v>
      </c>
      <c r="F77" s="171"/>
      <c r="H77" s="172" t="s">
        <v>70</v>
      </c>
      <c r="J77" s="170">
        <f>I31</f>
        <v>2</v>
      </c>
      <c r="K77" s="169"/>
      <c r="P77" s="2"/>
      <c r="Z77"/>
    </row>
    <row r="78" spans="1:26" ht="13.5" thickBot="1">
      <c r="A78" s="173" t="s">
        <v>71</v>
      </c>
      <c r="B78" s="174"/>
      <c r="C78" s="175">
        <f>1*C76*C77</f>
        <v>427</v>
      </c>
      <c r="D78" s="176" t="s">
        <v>67</v>
      </c>
      <c r="H78" s="173" t="s">
        <v>72</v>
      </c>
      <c r="I78" s="174"/>
      <c r="J78" s="175">
        <f>J76/J77</f>
        <v>213.5</v>
      </c>
      <c r="K78" s="177" t="s">
        <v>67</v>
      </c>
      <c r="P78" s="2"/>
      <c r="Z78"/>
    </row>
    <row r="79" spans="1:26" ht="13.5" thickBot="1">
      <c r="A79" s="27"/>
      <c r="B79" s="27"/>
      <c r="C79" s="27"/>
      <c r="D79" s="27"/>
      <c r="P79" s="2"/>
      <c r="Z79"/>
    </row>
    <row r="80" spans="1:26" ht="13.5" thickBot="1">
      <c r="A80" s="178" t="s">
        <v>32</v>
      </c>
      <c r="B80" s="179"/>
      <c r="C80" s="180"/>
      <c r="D80" s="162"/>
      <c r="E80" s="162"/>
      <c r="F80" s="162"/>
      <c r="G80" s="162"/>
      <c r="H80" s="162"/>
      <c r="I80" s="162"/>
      <c r="J80" s="162"/>
      <c r="K80" s="163"/>
      <c r="P80" s="2"/>
      <c r="Z80"/>
    </row>
    <row r="81" spans="1:26" ht="12.75">
      <c r="A81" s="181" t="s">
        <v>73</v>
      </c>
      <c r="B81" s="182"/>
      <c r="C81" s="182"/>
      <c r="D81" s="182"/>
      <c r="E81" s="182"/>
      <c r="F81" s="183"/>
      <c r="G81" s="184" t="s">
        <v>74</v>
      </c>
      <c r="H81" s="182"/>
      <c r="I81" s="182"/>
      <c r="J81" s="182"/>
      <c r="K81" s="185"/>
      <c r="L81" s="186"/>
      <c r="M81" s="187"/>
      <c r="P81" s="2"/>
      <c r="Z81"/>
    </row>
    <row r="82" spans="1:16" ht="12.75">
      <c r="A82" s="188" t="s">
        <v>75</v>
      </c>
      <c r="B82" s="189"/>
      <c r="C82" s="190">
        <f>E39*52</f>
        <v>8736</v>
      </c>
      <c r="D82" s="189" t="s">
        <v>76</v>
      </c>
      <c r="E82" s="191"/>
      <c r="F82" s="192"/>
      <c r="G82" s="193" t="s">
        <v>77</v>
      </c>
      <c r="H82" s="194">
        <f>IF(E39&lt;$I$33,$I$32*E39,$I$32*$I$33)</f>
        <v>60</v>
      </c>
      <c r="I82" s="195" t="s">
        <v>76</v>
      </c>
      <c r="K82" s="196"/>
      <c r="L82" s="187"/>
      <c r="M82" s="187"/>
      <c r="P82" s="2"/>
    </row>
    <row r="83" spans="1:16" ht="12.75">
      <c r="A83" s="181" t="s">
        <v>78</v>
      </c>
      <c r="B83" s="182"/>
      <c r="C83" s="197"/>
      <c r="D83" s="182"/>
      <c r="E83" s="182"/>
      <c r="F83" s="183"/>
      <c r="G83" s="184" t="s">
        <v>79</v>
      </c>
      <c r="H83" s="182"/>
      <c r="I83" s="182"/>
      <c r="J83" s="182"/>
      <c r="K83" s="185"/>
      <c r="L83" s="186"/>
      <c r="M83" s="187"/>
      <c r="P83" s="2"/>
    </row>
    <row r="84" spans="1:16" ht="12.75">
      <c r="A84" s="188" t="s">
        <v>80</v>
      </c>
      <c r="B84" s="191"/>
      <c r="C84" s="190">
        <f>$C$78*C82/1000</f>
        <v>3730.272</v>
      </c>
      <c r="D84" s="189" t="s">
        <v>81</v>
      </c>
      <c r="E84" s="191"/>
      <c r="F84" s="192"/>
      <c r="G84" s="193" t="s">
        <v>82</v>
      </c>
      <c r="H84" s="190">
        <f>$J$78*H82/1000</f>
        <v>12.81</v>
      </c>
      <c r="I84" s="189" t="s">
        <v>81</v>
      </c>
      <c r="J84" s="198"/>
      <c r="K84" s="199"/>
      <c r="L84" s="187"/>
      <c r="M84" s="187"/>
      <c r="P84" s="2"/>
    </row>
    <row r="85" spans="1:16" ht="12.75">
      <c r="A85" s="200"/>
      <c r="B85" s="201"/>
      <c r="C85" s="202"/>
      <c r="D85" s="203"/>
      <c r="E85" s="201"/>
      <c r="F85" s="201"/>
      <c r="G85" s="171"/>
      <c r="H85" s="204"/>
      <c r="I85" s="204"/>
      <c r="J85" s="205"/>
      <c r="K85" s="206"/>
      <c r="L85" s="187"/>
      <c r="M85" s="187"/>
      <c r="P85" s="2"/>
    </row>
    <row r="86" spans="1:16" ht="12.75">
      <c r="A86" s="181" t="s">
        <v>83</v>
      </c>
      <c r="B86" s="207"/>
      <c r="C86" s="208"/>
      <c r="D86" s="182"/>
      <c r="E86" s="182"/>
      <c r="F86" s="183"/>
      <c r="G86" s="209"/>
      <c r="H86" s="209"/>
      <c r="I86" s="209"/>
      <c r="J86" s="209"/>
      <c r="K86" s="210"/>
      <c r="L86" s="187"/>
      <c r="M86" s="187"/>
      <c r="P86" s="2"/>
    </row>
    <row r="87" spans="1:16" ht="12.75">
      <c r="A87" s="188" t="s">
        <v>84</v>
      </c>
      <c r="B87" s="191"/>
      <c r="C87" s="190">
        <f>(C84+H84)*F38</f>
        <v>374308.2</v>
      </c>
      <c r="D87" s="189" t="s">
        <v>81</v>
      </c>
      <c r="E87" s="191"/>
      <c r="F87" s="192"/>
      <c r="G87" s="204"/>
      <c r="H87" s="204"/>
      <c r="I87" s="204"/>
      <c r="J87" s="204"/>
      <c r="K87" s="211"/>
      <c r="L87" s="187"/>
      <c r="M87" s="187"/>
      <c r="P87" s="2"/>
    </row>
    <row r="88" spans="1:16" ht="12.75">
      <c r="A88" s="181" t="s">
        <v>85</v>
      </c>
      <c r="B88" s="182"/>
      <c r="C88" s="182"/>
      <c r="D88" s="182"/>
      <c r="E88" s="182"/>
      <c r="F88" s="183"/>
      <c r="G88" s="212"/>
      <c r="H88" s="212" t="s">
        <v>86</v>
      </c>
      <c r="I88" s="204"/>
      <c r="J88" s="213"/>
      <c r="K88" s="211"/>
      <c r="L88" s="187"/>
      <c r="M88" s="187"/>
      <c r="P88" s="2"/>
    </row>
    <row r="89" spans="1:16" ht="12.75">
      <c r="A89" s="188" t="s">
        <v>87</v>
      </c>
      <c r="B89" s="191"/>
      <c r="C89" s="214">
        <f>C87*$I$28</f>
        <v>24330.033000000003</v>
      </c>
      <c r="D89" s="198"/>
      <c r="E89" s="191"/>
      <c r="F89" s="192"/>
      <c r="G89" s="171"/>
      <c r="H89" s="204"/>
      <c r="I89" s="204"/>
      <c r="J89" s="213"/>
      <c r="K89" s="211"/>
      <c r="L89" s="187"/>
      <c r="M89" s="187"/>
      <c r="P89" s="2"/>
    </row>
    <row r="90" spans="1:16" ht="16.5" thickBot="1">
      <c r="A90" s="215"/>
      <c r="B90" s="216"/>
      <c r="C90" s="217"/>
      <c r="D90" s="218"/>
      <c r="E90" s="216"/>
      <c r="F90" s="216"/>
      <c r="G90" s="218"/>
      <c r="H90" s="216"/>
      <c r="I90" s="216"/>
      <c r="J90" s="219"/>
      <c r="K90" s="220"/>
      <c r="P90" s="2"/>
    </row>
    <row r="91" spans="1:16" ht="13.5" thickBot="1">
      <c r="A91" s="171"/>
      <c r="B91" s="2"/>
      <c r="C91" s="205"/>
      <c r="D91" s="171"/>
      <c r="E91" s="2"/>
      <c r="F91" s="2"/>
      <c r="G91" s="171"/>
      <c r="H91" s="2"/>
      <c r="I91" s="2"/>
      <c r="J91" s="213"/>
      <c r="K91" s="2"/>
      <c r="P91" s="2"/>
    </row>
    <row r="92" spans="1:16" ht="13.5" thickBot="1">
      <c r="A92" s="178" t="s">
        <v>41</v>
      </c>
      <c r="B92" s="179"/>
      <c r="C92" s="180"/>
      <c r="D92" s="160"/>
      <c r="E92" s="162"/>
      <c r="F92" s="162"/>
      <c r="G92" s="160"/>
      <c r="H92" s="162"/>
      <c r="I92" s="162"/>
      <c r="J92" s="221"/>
      <c r="K92" s="163"/>
      <c r="P92" s="2"/>
    </row>
    <row r="93" spans="1:16" ht="12.75">
      <c r="A93" s="181" t="s">
        <v>73</v>
      </c>
      <c r="B93" s="222"/>
      <c r="C93" s="223"/>
      <c r="D93" s="222"/>
      <c r="E93" s="222"/>
      <c r="F93" s="224"/>
      <c r="G93" s="184" t="s">
        <v>74</v>
      </c>
      <c r="H93" s="222"/>
      <c r="I93" s="222"/>
      <c r="J93" s="222"/>
      <c r="K93" s="225"/>
      <c r="P93" s="2"/>
    </row>
    <row r="94" spans="1:16" ht="12.75">
      <c r="A94" s="188" t="str">
        <f>A82</f>
        <v>Primary POH/Yr</v>
      </c>
      <c r="B94" s="189"/>
      <c r="C94" s="190">
        <f>E45*52</f>
        <v>0</v>
      </c>
      <c r="D94" s="189" t="s">
        <v>76</v>
      </c>
      <c r="E94" s="226"/>
      <c r="F94" s="227"/>
      <c r="G94" s="193" t="str">
        <f>G82</f>
        <v>A/C POH/Yr</v>
      </c>
      <c r="H94" s="194">
        <f>IF(E45&lt;$I$33,$I$32*E45,$I$32*$I$33)</f>
        <v>0</v>
      </c>
      <c r="I94" s="195" t="s">
        <v>76</v>
      </c>
      <c r="J94" s="198"/>
      <c r="K94" s="199"/>
      <c r="P94" s="2"/>
    </row>
    <row r="95" spans="1:16" ht="12.75">
      <c r="A95" s="181" t="s">
        <v>78</v>
      </c>
      <c r="B95" s="222"/>
      <c r="C95" s="223"/>
      <c r="D95" s="222"/>
      <c r="E95" s="222"/>
      <c r="F95" s="224"/>
      <c r="G95" s="184" t="s">
        <v>79</v>
      </c>
      <c r="H95" s="222"/>
      <c r="I95" s="222"/>
      <c r="J95" s="222"/>
      <c r="K95" s="225"/>
      <c r="P95" s="2"/>
    </row>
    <row r="96" spans="1:16" ht="12.75">
      <c r="A96" s="188" t="str">
        <f>A84</f>
        <v>Primary Energy/Yr</v>
      </c>
      <c r="B96" s="226"/>
      <c r="C96" s="190">
        <f>$C$78*C94/1000</f>
        <v>0</v>
      </c>
      <c r="D96" s="189" t="s">
        <v>81</v>
      </c>
      <c r="E96" s="226"/>
      <c r="F96" s="227"/>
      <c r="G96" s="193" t="str">
        <f>G84</f>
        <v>A/C Energy/Yr</v>
      </c>
      <c r="H96" s="190">
        <f>$J$78*H94/1000</f>
        <v>0</v>
      </c>
      <c r="I96" s="189" t="s">
        <v>81</v>
      </c>
      <c r="J96" s="198"/>
      <c r="K96" s="199"/>
      <c r="P96" s="2"/>
    </row>
    <row r="97" spans="1:16" ht="12.75">
      <c r="A97" s="200"/>
      <c r="B97" s="228"/>
      <c r="C97" s="202"/>
      <c r="D97" s="203"/>
      <c r="E97" s="228"/>
      <c r="F97" s="228"/>
      <c r="G97" s="203"/>
      <c r="H97" s="228"/>
      <c r="I97" s="228"/>
      <c r="J97" s="202"/>
      <c r="K97" s="229"/>
      <c r="P97" s="2"/>
    </row>
    <row r="98" spans="1:16" ht="12.75">
      <c r="A98" s="181" t="s">
        <v>83</v>
      </c>
      <c r="B98" s="207"/>
      <c r="C98" s="208"/>
      <c r="D98" s="222"/>
      <c r="E98" s="222"/>
      <c r="F98" s="224"/>
      <c r="G98" s="228"/>
      <c r="H98" s="228"/>
      <c r="I98" s="228"/>
      <c r="J98" s="228"/>
      <c r="K98" s="230"/>
      <c r="P98" s="2"/>
    </row>
    <row r="99" spans="1:16" ht="12.75">
      <c r="A99" s="188" t="s">
        <v>84</v>
      </c>
      <c r="B99" s="226"/>
      <c r="C99" s="190">
        <f>(C96+H96)*F44</f>
        <v>0</v>
      </c>
      <c r="D99" s="189" t="s">
        <v>81</v>
      </c>
      <c r="E99" s="226"/>
      <c r="F99" s="227"/>
      <c r="G99" s="228"/>
      <c r="H99" s="228"/>
      <c r="I99" s="228"/>
      <c r="J99" s="228"/>
      <c r="K99" s="230"/>
      <c r="P99" s="2"/>
    </row>
    <row r="100" spans="1:16" ht="12.75">
      <c r="A100" s="181" t="s">
        <v>85</v>
      </c>
      <c r="B100" s="222"/>
      <c r="C100" s="222"/>
      <c r="D100" s="222"/>
      <c r="E100" s="222"/>
      <c r="F100" s="224"/>
      <c r="G100" s="203"/>
      <c r="H100" s="212" t="s">
        <v>88</v>
      </c>
      <c r="I100" s="228"/>
      <c r="J100" s="231"/>
      <c r="K100" s="230"/>
      <c r="P100" s="2"/>
    </row>
    <row r="101" spans="1:16" ht="12.75" customHeight="1">
      <c r="A101" s="188" t="s">
        <v>87</v>
      </c>
      <c r="B101" s="226"/>
      <c r="C101" s="214">
        <f>C99*$I$28</f>
        <v>0</v>
      </c>
      <c r="D101" s="198"/>
      <c r="E101" s="226"/>
      <c r="F101" s="227"/>
      <c r="G101" s="203"/>
      <c r="H101" s="228"/>
      <c r="I101" s="228"/>
      <c r="J101" s="231"/>
      <c r="K101" s="230"/>
      <c r="P101" s="2"/>
    </row>
    <row r="102" spans="1:16" ht="13.5" thickBot="1">
      <c r="A102" s="232"/>
      <c r="B102" s="233"/>
      <c r="C102" s="234"/>
      <c r="D102" s="235"/>
      <c r="E102" s="233"/>
      <c r="F102" s="233"/>
      <c r="G102" s="235"/>
      <c r="H102" s="233"/>
      <c r="I102" s="233"/>
      <c r="J102" s="236"/>
      <c r="K102" s="237"/>
      <c r="P102" s="2"/>
    </row>
    <row r="103" spans="1:16" ht="13.5" thickBot="1">
      <c r="A103" s="171"/>
      <c r="B103" s="2"/>
      <c r="C103" s="205"/>
      <c r="D103" s="171"/>
      <c r="E103" s="2"/>
      <c r="F103" s="2"/>
      <c r="G103" s="171"/>
      <c r="H103" s="2"/>
      <c r="I103" s="2"/>
      <c r="J103" s="213"/>
      <c r="K103" s="2"/>
      <c r="P103" s="2"/>
    </row>
    <row r="104" spans="1:16" ht="13.5" thickBot="1">
      <c r="A104" s="178" t="s">
        <v>43</v>
      </c>
      <c r="B104" s="179"/>
      <c r="C104" s="238"/>
      <c r="D104" s="162"/>
      <c r="E104" s="162"/>
      <c r="F104" s="162"/>
      <c r="G104" s="162"/>
      <c r="H104" s="162"/>
      <c r="I104" s="162"/>
      <c r="J104" s="162"/>
      <c r="K104" s="163"/>
      <c r="P104" s="2"/>
    </row>
    <row r="105" spans="1:16" ht="12.75">
      <c r="A105" s="181" t="s">
        <v>73</v>
      </c>
      <c r="B105" s="222"/>
      <c r="C105" s="223"/>
      <c r="D105" s="222"/>
      <c r="E105" s="222"/>
      <c r="F105" s="224"/>
      <c r="G105" s="184" t="s">
        <v>74</v>
      </c>
      <c r="H105" s="222"/>
      <c r="I105" s="222"/>
      <c r="J105" s="222"/>
      <c r="K105" s="225"/>
      <c r="P105" s="2"/>
    </row>
    <row r="106" spans="1:16" ht="12.75">
      <c r="A106" s="188" t="str">
        <f>A82</f>
        <v>Primary POH/Yr</v>
      </c>
      <c r="B106" s="189"/>
      <c r="C106" s="190">
        <f>E51*52</f>
        <v>0</v>
      </c>
      <c r="D106" s="189" t="s">
        <v>76</v>
      </c>
      <c r="E106" s="226"/>
      <c r="F106" s="227"/>
      <c r="G106" s="193" t="str">
        <f>G82</f>
        <v>A/C POH/Yr</v>
      </c>
      <c r="H106" s="194">
        <f>IF(E51&lt;$I$33,$I$32*E51,$I$32*$I$33)</f>
        <v>0</v>
      </c>
      <c r="I106" s="195" t="s">
        <v>76</v>
      </c>
      <c r="J106" s="198"/>
      <c r="K106" s="199"/>
      <c r="P106" s="2"/>
    </row>
    <row r="107" spans="1:16" ht="12.75">
      <c r="A107" s="181" t="s">
        <v>78</v>
      </c>
      <c r="B107" s="222"/>
      <c r="C107" s="223"/>
      <c r="D107" s="222"/>
      <c r="E107" s="222"/>
      <c r="F107" s="224"/>
      <c r="G107" s="184" t="s">
        <v>79</v>
      </c>
      <c r="H107" s="222"/>
      <c r="I107" s="222"/>
      <c r="J107" s="222"/>
      <c r="K107" s="225"/>
      <c r="P107" s="2"/>
    </row>
    <row r="108" spans="1:16" ht="12.75">
      <c r="A108" s="188" t="str">
        <f>A84</f>
        <v>Primary Energy/Yr</v>
      </c>
      <c r="B108" s="226"/>
      <c r="C108" s="190">
        <f>$C$78*C106/1000</f>
        <v>0</v>
      </c>
      <c r="D108" s="189" t="s">
        <v>81</v>
      </c>
      <c r="E108" s="226"/>
      <c r="F108" s="227"/>
      <c r="G108" s="193" t="str">
        <f>G84</f>
        <v>A/C Energy/Yr</v>
      </c>
      <c r="H108" s="190">
        <f>$J$78*H106/1000</f>
        <v>0</v>
      </c>
      <c r="I108" s="189" t="s">
        <v>81</v>
      </c>
      <c r="J108" s="198"/>
      <c r="K108" s="199"/>
      <c r="P108" s="2"/>
    </row>
    <row r="109" spans="1:16" ht="12.75">
      <c r="A109" s="239"/>
      <c r="B109" s="2"/>
      <c r="C109" s="2"/>
      <c r="D109" s="2"/>
      <c r="E109" s="2"/>
      <c r="F109" s="2"/>
      <c r="G109" s="2"/>
      <c r="H109" s="2"/>
      <c r="I109" s="2"/>
      <c r="J109" s="2"/>
      <c r="K109" s="196"/>
      <c r="P109" s="2"/>
    </row>
    <row r="110" spans="1:16" ht="12.75">
      <c r="A110" s="181" t="s">
        <v>83</v>
      </c>
      <c r="B110" s="207"/>
      <c r="C110" s="208"/>
      <c r="D110" s="222"/>
      <c r="E110" s="222"/>
      <c r="F110" s="224"/>
      <c r="G110" s="2"/>
      <c r="H110" s="2"/>
      <c r="I110" s="2"/>
      <c r="J110" s="2"/>
      <c r="K110" s="196"/>
      <c r="P110" s="2"/>
    </row>
    <row r="111" spans="1:16" ht="12.75">
      <c r="A111" s="188" t="s">
        <v>84</v>
      </c>
      <c r="B111" s="226"/>
      <c r="C111" s="190">
        <f>(C108+H108)*F50</f>
        <v>0</v>
      </c>
      <c r="D111" s="189" t="s">
        <v>81</v>
      </c>
      <c r="E111" s="226"/>
      <c r="F111" s="227"/>
      <c r="G111" s="203"/>
      <c r="H111" s="228"/>
      <c r="I111" s="228"/>
      <c r="J111" s="231"/>
      <c r="K111" s="230"/>
      <c r="P111" s="2"/>
    </row>
    <row r="112" spans="1:16" ht="12.75">
      <c r="A112" s="181" t="s">
        <v>85</v>
      </c>
      <c r="B112" s="222"/>
      <c r="C112" s="222"/>
      <c r="D112" s="222"/>
      <c r="E112" s="222"/>
      <c r="F112" s="224"/>
      <c r="G112" s="203"/>
      <c r="H112" s="212" t="s">
        <v>89</v>
      </c>
      <c r="I112" s="228"/>
      <c r="J112" s="231"/>
      <c r="K112" s="230"/>
      <c r="P112" s="2"/>
    </row>
    <row r="113" spans="1:16" ht="12.75">
      <c r="A113" s="188" t="s">
        <v>87</v>
      </c>
      <c r="B113" s="226"/>
      <c r="C113" s="214">
        <f>C111*$I$28</f>
        <v>0</v>
      </c>
      <c r="D113" s="198"/>
      <c r="E113" s="226"/>
      <c r="F113" s="227"/>
      <c r="G113" s="203"/>
      <c r="H113" s="228"/>
      <c r="I113" s="228"/>
      <c r="J113" s="231"/>
      <c r="K113" s="230"/>
      <c r="P113" s="2"/>
    </row>
    <row r="114" spans="1:16" ht="13.5" thickBot="1">
      <c r="A114" s="232"/>
      <c r="B114" s="233"/>
      <c r="C114" s="234"/>
      <c r="D114" s="235"/>
      <c r="E114" s="233"/>
      <c r="F114" s="233"/>
      <c r="G114" s="235"/>
      <c r="H114" s="233"/>
      <c r="I114" s="233"/>
      <c r="J114" s="236"/>
      <c r="K114" s="237"/>
      <c r="P114" s="2"/>
    </row>
    <row r="115" spans="1:16" ht="19.5">
      <c r="A115" s="154" t="s">
        <v>90</v>
      </c>
      <c r="B115" s="240"/>
      <c r="C115" s="241"/>
      <c r="D115" s="240"/>
      <c r="E115" s="240"/>
      <c r="P115" s="2"/>
    </row>
    <row r="116" spans="1:16" ht="12" customHeight="1" thickBot="1">
      <c r="A116" s="154"/>
      <c r="B116" s="240"/>
      <c r="C116" s="241"/>
      <c r="D116" s="240"/>
      <c r="E116" s="240"/>
      <c r="P116" s="2"/>
    </row>
    <row r="117" spans="1:16" ht="12" customHeight="1">
      <c r="A117" s="159" t="s">
        <v>62</v>
      </c>
      <c r="B117" s="160"/>
      <c r="C117" s="160"/>
      <c r="D117" s="161"/>
      <c r="H117" s="159" t="s">
        <v>63</v>
      </c>
      <c r="I117" s="162"/>
      <c r="J117" s="162"/>
      <c r="K117" s="163"/>
      <c r="P117" s="2"/>
    </row>
    <row r="118" spans="1:16" ht="12" customHeight="1">
      <c r="A118" s="164" t="s">
        <v>64</v>
      </c>
      <c r="B118" s="27"/>
      <c r="C118" s="165">
        <f>C76</f>
        <v>120</v>
      </c>
      <c r="D118" s="166" t="s">
        <v>65</v>
      </c>
      <c r="H118" s="167" t="s">
        <v>66</v>
      </c>
      <c r="J118" s="168">
        <f>$C$78</f>
        <v>427</v>
      </c>
      <c r="K118" s="169" t="s">
        <v>67</v>
      </c>
      <c r="P118" s="2"/>
    </row>
    <row r="119" spans="1:16" ht="12" customHeight="1">
      <c r="A119" s="164" t="s">
        <v>68</v>
      </c>
      <c r="B119" s="27"/>
      <c r="C119" s="170">
        <f>C77</f>
        <v>3.558333333333333</v>
      </c>
      <c r="D119" s="166" t="s">
        <v>69</v>
      </c>
      <c r="F119" s="171"/>
      <c r="H119" s="172" t="s">
        <v>70</v>
      </c>
      <c r="J119" s="170">
        <f>J77</f>
        <v>2</v>
      </c>
      <c r="K119" s="169"/>
      <c r="P119" s="2"/>
    </row>
    <row r="120" spans="1:16" ht="12" customHeight="1" thickBot="1">
      <c r="A120" s="173" t="s">
        <v>71</v>
      </c>
      <c r="B120" s="174"/>
      <c r="C120" s="175">
        <f>1*C118*C119</f>
        <v>427</v>
      </c>
      <c r="D120" s="176" t="s">
        <v>67</v>
      </c>
      <c r="H120" s="173" t="s">
        <v>72</v>
      </c>
      <c r="I120" s="174"/>
      <c r="J120" s="175">
        <f>J118/J119</f>
        <v>213.5</v>
      </c>
      <c r="K120" s="177" t="s">
        <v>67</v>
      </c>
      <c r="P120" s="2"/>
    </row>
    <row r="121" spans="1:16" ht="12" customHeight="1" thickBot="1">
      <c r="A121" s="242"/>
      <c r="B121" s="46"/>
      <c r="C121" s="243"/>
      <c r="D121" s="244"/>
      <c r="H121" s="242"/>
      <c r="I121" s="46"/>
      <c r="J121" s="243"/>
      <c r="K121" s="245"/>
      <c r="P121" s="2"/>
    </row>
    <row r="122" spans="1:16" ht="13.5" thickBot="1">
      <c r="A122" s="178" t="str">
        <f>A80</f>
        <v>Yearly Energy Analysis - Category I</v>
      </c>
      <c r="B122" s="179"/>
      <c r="C122" s="180"/>
      <c r="D122" s="162"/>
      <c r="E122" s="162"/>
      <c r="F122" s="162"/>
      <c r="G122" s="162"/>
      <c r="H122" s="162"/>
      <c r="I122" s="162"/>
      <c r="J122" s="162"/>
      <c r="K122" s="163"/>
      <c r="P122" s="2"/>
    </row>
    <row r="123" spans="1:16" ht="12.75">
      <c r="A123" s="181" t="s">
        <v>91</v>
      </c>
      <c r="B123" s="222"/>
      <c r="C123" s="223"/>
      <c r="D123" s="222"/>
      <c r="E123" s="222"/>
      <c r="F123" s="224"/>
      <c r="G123" s="184" t="s">
        <v>92</v>
      </c>
      <c r="H123" s="222"/>
      <c r="I123" s="222"/>
      <c r="J123" s="222"/>
      <c r="K123" s="225"/>
      <c r="P123" s="2"/>
    </row>
    <row r="124" spans="1:16" ht="12.75">
      <c r="A124" s="188" t="str">
        <f>A82</f>
        <v>Primary POH/Yr</v>
      </c>
      <c r="B124" s="189"/>
      <c r="C124" s="190">
        <f>IF(E39&gt;E40,(E40+E41)*52,E39*52)</f>
        <v>4489.333333333334</v>
      </c>
      <c r="D124" s="189" t="s">
        <v>76</v>
      </c>
      <c r="E124" s="226"/>
      <c r="F124" s="227"/>
      <c r="G124" s="246" t="str">
        <f>G82</f>
        <v>A/C POH/Yr</v>
      </c>
      <c r="H124" s="247">
        <f>IF(E39&gt;E40,IF(E40&lt;$I$33,E40*$I$32,$I$33*$I$32),IF(E39&lt;$I$33,E39*$I$32,$I$33*$I$32))</f>
        <v>60</v>
      </c>
      <c r="I124" s="248" t="s">
        <v>76</v>
      </c>
      <c r="J124" s="2"/>
      <c r="K124" s="196"/>
      <c r="P124" s="2"/>
    </row>
    <row r="125" spans="1:16" ht="12.75">
      <c r="A125" s="181" t="s">
        <v>78</v>
      </c>
      <c r="B125" s="228"/>
      <c r="C125" s="249"/>
      <c r="D125" s="228"/>
      <c r="E125" s="228"/>
      <c r="F125" s="250"/>
      <c r="G125" s="184" t="s">
        <v>93</v>
      </c>
      <c r="H125" s="222"/>
      <c r="I125" s="222"/>
      <c r="J125" s="222"/>
      <c r="K125" s="225"/>
      <c r="P125" s="2"/>
    </row>
    <row r="126" spans="1:16" ht="12.75">
      <c r="A126" s="188" t="str">
        <f>A84</f>
        <v>Primary Energy/Yr</v>
      </c>
      <c r="B126" s="226"/>
      <c r="C126" s="190">
        <f>C124*$C$78/1000</f>
        <v>1916.9453333333336</v>
      </c>
      <c r="D126" s="189" t="s">
        <v>81</v>
      </c>
      <c r="E126" s="226"/>
      <c r="F126" s="227"/>
      <c r="G126" s="193" t="str">
        <f>G84</f>
        <v>A/C Energy/Yr</v>
      </c>
      <c r="H126" s="190">
        <f>H124*$J$78/1000</f>
        <v>12.81</v>
      </c>
      <c r="I126" s="189" t="s">
        <v>81</v>
      </c>
      <c r="J126" s="198"/>
      <c r="K126" s="199"/>
      <c r="P126" s="2"/>
    </row>
    <row r="127" spans="1:16" ht="12.75">
      <c r="A127" s="239"/>
      <c r="B127" s="2"/>
      <c r="C127" s="2"/>
      <c r="D127" s="2"/>
      <c r="E127" s="2"/>
      <c r="F127" s="2"/>
      <c r="G127" s="2"/>
      <c r="H127" s="2"/>
      <c r="I127" s="2"/>
      <c r="J127" s="2"/>
      <c r="K127" s="196"/>
      <c r="P127" s="2"/>
    </row>
    <row r="128" spans="1:16" ht="12.75">
      <c r="A128" s="181" t="s">
        <v>94</v>
      </c>
      <c r="B128" s="207"/>
      <c r="C128" s="208"/>
      <c r="D128" s="222"/>
      <c r="E128" s="222"/>
      <c r="F128" s="224"/>
      <c r="G128" s="2"/>
      <c r="H128" s="2"/>
      <c r="I128" s="2"/>
      <c r="J128" s="2"/>
      <c r="K128" s="196"/>
      <c r="P128" s="2"/>
    </row>
    <row r="129" spans="1:16" ht="12.75">
      <c r="A129" s="188" t="s">
        <v>95</v>
      </c>
      <c r="B129" s="226"/>
      <c r="C129" s="190">
        <f>(C126+H126)*F38</f>
        <v>192975.53333333335</v>
      </c>
      <c r="D129" s="189" t="s">
        <v>81</v>
      </c>
      <c r="E129" s="226"/>
      <c r="F129" s="227"/>
      <c r="G129" s="171"/>
      <c r="K129" s="196"/>
      <c r="P129" s="2"/>
    </row>
    <row r="130" spans="1:16" ht="12.75">
      <c r="A130" s="251" t="s">
        <v>96</v>
      </c>
      <c r="B130" s="228"/>
      <c r="C130" s="228"/>
      <c r="D130" s="228"/>
      <c r="E130" s="228"/>
      <c r="F130" s="252"/>
      <c r="G130" s="171"/>
      <c r="H130" s="212" t="s">
        <v>97</v>
      </c>
      <c r="I130" s="2"/>
      <c r="J130" s="213"/>
      <c r="K130" s="196"/>
      <c r="P130" s="2"/>
    </row>
    <row r="131" spans="1:16" ht="12.75">
      <c r="A131" s="188" t="s">
        <v>98</v>
      </c>
      <c r="B131" s="226"/>
      <c r="C131" s="214">
        <f>C129*$I$28</f>
        <v>12543.409666666668</v>
      </c>
      <c r="D131" s="198"/>
      <c r="E131" s="226"/>
      <c r="F131" s="253"/>
      <c r="G131" s="171"/>
      <c r="H131" s="2"/>
      <c r="I131" s="2"/>
      <c r="J131" s="213"/>
      <c r="K131" s="196"/>
      <c r="P131" s="2"/>
    </row>
    <row r="132" spans="1:16" ht="13.5" thickBot="1">
      <c r="A132" s="254"/>
      <c r="B132" s="153"/>
      <c r="C132" s="255"/>
      <c r="D132" s="256"/>
      <c r="E132" s="153"/>
      <c r="F132" s="153"/>
      <c r="G132" s="256"/>
      <c r="H132" s="153"/>
      <c r="I132" s="153"/>
      <c r="J132" s="257"/>
      <c r="K132" s="258"/>
      <c r="P132" s="2"/>
    </row>
    <row r="133" spans="1:16" ht="13.5" thickBot="1">
      <c r="A133" s="171"/>
      <c r="B133" s="2"/>
      <c r="C133" s="205"/>
      <c r="D133" s="171"/>
      <c r="E133" s="2"/>
      <c r="F133" s="2"/>
      <c r="G133" s="171"/>
      <c r="H133" s="2"/>
      <c r="I133" s="2"/>
      <c r="J133" s="213"/>
      <c r="K133" s="2"/>
      <c r="P133" s="2"/>
    </row>
    <row r="134" spans="1:16" ht="13.5" thickBot="1">
      <c r="A134" s="178" t="str">
        <f>A92</f>
        <v>Yearly Energy Analysis - Category II</v>
      </c>
      <c r="B134" s="179"/>
      <c r="C134" s="180"/>
      <c r="D134" s="162"/>
      <c r="E134" s="162"/>
      <c r="F134" s="162"/>
      <c r="G134" s="162"/>
      <c r="H134" s="162"/>
      <c r="I134" s="162"/>
      <c r="J134" s="162"/>
      <c r="K134" s="163"/>
      <c r="P134" s="2"/>
    </row>
    <row r="135" spans="1:16" ht="12.75">
      <c r="A135" s="181" t="s">
        <v>91</v>
      </c>
      <c r="B135" s="222"/>
      <c r="C135" s="223"/>
      <c r="D135" s="222"/>
      <c r="E135" s="222"/>
      <c r="F135" s="224"/>
      <c r="G135" s="184" t="s">
        <v>92</v>
      </c>
      <c r="H135" s="222"/>
      <c r="I135" s="222"/>
      <c r="J135" s="222"/>
      <c r="K135" s="225"/>
      <c r="P135" s="2"/>
    </row>
    <row r="136" spans="1:16" ht="12.75">
      <c r="A136" s="188" t="str">
        <f>A82</f>
        <v>Primary POH/Yr</v>
      </c>
      <c r="B136" s="189"/>
      <c r="C136" s="190">
        <f>IF(E45&gt;E46,(E46+E47)*52,E45*52)</f>
        <v>0</v>
      </c>
      <c r="D136" s="189" t="s">
        <v>76</v>
      </c>
      <c r="E136" s="226"/>
      <c r="F136" s="227"/>
      <c r="G136" s="193" t="str">
        <f>G82</f>
        <v>A/C POH/Yr</v>
      </c>
      <c r="H136" s="259">
        <f>IF(E45&gt;E46,IF(E46&lt;$I$33,E46*$I$32,$I$33*$I$32),IF(E45&lt;$I$33,E45*$I$32,$I$33*$I$32))</f>
        <v>0</v>
      </c>
      <c r="I136" s="195" t="s">
        <v>76</v>
      </c>
      <c r="J136" s="198"/>
      <c r="K136" s="199"/>
      <c r="P136" s="2"/>
    </row>
    <row r="137" spans="1:16" ht="12.75">
      <c r="A137" s="181" t="s">
        <v>78</v>
      </c>
      <c r="B137" s="228"/>
      <c r="C137" s="249"/>
      <c r="D137" s="228"/>
      <c r="E137" s="228"/>
      <c r="F137" s="250"/>
      <c r="G137" s="184" t="s">
        <v>93</v>
      </c>
      <c r="H137" s="222"/>
      <c r="I137" s="222"/>
      <c r="J137" s="222"/>
      <c r="K137" s="225"/>
      <c r="P137" s="2"/>
    </row>
    <row r="138" spans="1:16" ht="12.75">
      <c r="A138" s="188" t="str">
        <f>A84</f>
        <v>Primary Energy/Yr</v>
      </c>
      <c r="B138" s="226"/>
      <c r="C138" s="190">
        <f>C136*$C$78/1000</f>
        <v>0</v>
      </c>
      <c r="D138" s="189" t="s">
        <v>81</v>
      </c>
      <c r="E138" s="226"/>
      <c r="F138" s="227"/>
      <c r="G138" s="193" t="str">
        <f>G84</f>
        <v>A/C Energy/Yr</v>
      </c>
      <c r="H138" s="190">
        <f>H136*$J$78/1000</f>
        <v>0</v>
      </c>
      <c r="I138" s="189" t="s">
        <v>81</v>
      </c>
      <c r="J138" s="198"/>
      <c r="K138" s="199"/>
      <c r="P138" s="2"/>
    </row>
    <row r="139" spans="1:16" ht="12.75">
      <c r="A139" s="239"/>
      <c r="B139" s="2"/>
      <c r="C139" s="2"/>
      <c r="D139" s="2"/>
      <c r="E139" s="2"/>
      <c r="F139" s="2"/>
      <c r="G139" s="2"/>
      <c r="H139" s="2"/>
      <c r="I139" s="2"/>
      <c r="J139" s="2"/>
      <c r="K139" s="196"/>
      <c r="P139" s="2"/>
    </row>
    <row r="140" spans="1:16" ht="12.75">
      <c r="A140" s="181" t="s">
        <v>94</v>
      </c>
      <c r="B140" s="207"/>
      <c r="C140" s="208"/>
      <c r="D140" s="222"/>
      <c r="E140" s="222"/>
      <c r="F140" s="224"/>
      <c r="G140" s="2"/>
      <c r="H140" s="2"/>
      <c r="I140" s="2"/>
      <c r="J140" s="2"/>
      <c r="K140" s="196"/>
      <c r="P140" s="2"/>
    </row>
    <row r="141" spans="1:16" ht="12.75">
      <c r="A141" s="188" t="s">
        <v>95</v>
      </c>
      <c r="B141" s="226"/>
      <c r="C141" s="190">
        <f>(C138+H138)*F44</f>
        <v>0</v>
      </c>
      <c r="D141" s="189" t="s">
        <v>81</v>
      </c>
      <c r="E141" s="226"/>
      <c r="F141" s="227"/>
      <c r="G141" s="203"/>
      <c r="H141" s="228"/>
      <c r="I141" s="228"/>
      <c r="J141" s="231"/>
      <c r="K141" s="230"/>
      <c r="P141" s="2"/>
    </row>
    <row r="142" spans="1:16" ht="12.75">
      <c r="A142" s="251" t="s">
        <v>96</v>
      </c>
      <c r="B142" s="228"/>
      <c r="C142" s="228"/>
      <c r="D142" s="228"/>
      <c r="E142" s="228"/>
      <c r="F142" s="250"/>
      <c r="G142" s="203"/>
      <c r="H142" s="212" t="s">
        <v>99</v>
      </c>
      <c r="I142" s="260"/>
      <c r="J142" s="261"/>
      <c r="K142" s="262"/>
      <c r="P142" s="2"/>
    </row>
    <row r="143" spans="1:16" ht="12.75">
      <c r="A143" s="188" t="s">
        <v>98</v>
      </c>
      <c r="B143" s="226"/>
      <c r="C143" s="214">
        <f>C141*$I$28</f>
        <v>0</v>
      </c>
      <c r="D143" s="198"/>
      <c r="E143" s="226"/>
      <c r="F143" s="227"/>
      <c r="G143" s="203"/>
      <c r="H143" s="228"/>
      <c r="I143" s="228"/>
      <c r="J143" s="231"/>
      <c r="K143" s="230"/>
      <c r="P143" s="2"/>
    </row>
    <row r="144" spans="1:16" ht="13.5" thickBot="1">
      <c r="A144" s="232"/>
      <c r="B144" s="233"/>
      <c r="C144" s="234"/>
      <c r="D144" s="233"/>
      <c r="E144" s="233"/>
      <c r="F144" s="233"/>
      <c r="G144" s="233"/>
      <c r="H144" s="233"/>
      <c r="I144" s="233"/>
      <c r="J144" s="233"/>
      <c r="K144" s="237"/>
      <c r="P144" s="2"/>
    </row>
    <row r="145" spans="1:16" ht="13.5" thickBot="1">
      <c r="A145" s="203"/>
      <c r="B145" s="228"/>
      <c r="C145" s="202"/>
      <c r="D145" s="228"/>
      <c r="E145" s="228"/>
      <c r="F145" s="228"/>
      <c r="G145" s="228"/>
      <c r="H145" s="228"/>
      <c r="I145" s="228"/>
      <c r="J145" s="228"/>
      <c r="K145" s="228"/>
      <c r="P145" s="2"/>
    </row>
    <row r="146" spans="1:16" ht="13.5" thickBot="1">
      <c r="A146" s="178" t="str">
        <f>A104</f>
        <v>Yearly Energy Analysis - Category III</v>
      </c>
      <c r="B146" s="179"/>
      <c r="C146" s="180"/>
      <c r="D146" s="263"/>
      <c r="E146" s="263"/>
      <c r="F146" s="263"/>
      <c r="G146" s="263"/>
      <c r="H146" s="263"/>
      <c r="I146" s="263"/>
      <c r="J146" s="263"/>
      <c r="K146" s="264"/>
      <c r="P146" s="2"/>
    </row>
    <row r="147" spans="1:16" ht="12.75">
      <c r="A147" s="181" t="s">
        <v>91</v>
      </c>
      <c r="B147" s="222"/>
      <c r="C147" s="223"/>
      <c r="D147" s="222"/>
      <c r="E147" s="222"/>
      <c r="F147" s="222"/>
      <c r="G147" s="184" t="s">
        <v>92</v>
      </c>
      <c r="H147" s="222"/>
      <c r="I147" s="222"/>
      <c r="J147" s="222"/>
      <c r="K147" s="225"/>
      <c r="P147" s="2"/>
    </row>
    <row r="148" spans="1:16" ht="12.75">
      <c r="A148" s="188" t="str">
        <f>A82</f>
        <v>Primary POH/Yr</v>
      </c>
      <c r="B148" s="189"/>
      <c r="C148" s="190">
        <f>IF(E51&gt;E52,(E52+E53)*52,E51*52)</f>
        <v>0</v>
      </c>
      <c r="D148" s="189" t="s">
        <v>76</v>
      </c>
      <c r="E148" s="226"/>
      <c r="F148" s="226"/>
      <c r="G148" s="193" t="str">
        <f>G82</f>
        <v>A/C POH/Yr</v>
      </c>
      <c r="H148" s="247">
        <f>IF(E51&gt;E52,IF(E52&lt;$I$33,E52*$I$32,$I$33*$I$32),IF(E51&lt;$I$33,E51*$I$32,$I$33*$I$32))</f>
        <v>0</v>
      </c>
      <c r="I148" s="195" t="s">
        <v>76</v>
      </c>
      <c r="J148" s="198"/>
      <c r="K148" s="199"/>
      <c r="P148" s="2"/>
    </row>
    <row r="149" spans="1:16" ht="12.75">
      <c r="A149" s="181" t="s">
        <v>78</v>
      </c>
      <c r="B149" s="260"/>
      <c r="C149" s="265"/>
      <c r="D149" s="260"/>
      <c r="E149" s="260"/>
      <c r="F149" s="260"/>
      <c r="G149" s="266" t="s">
        <v>93</v>
      </c>
      <c r="H149" s="228"/>
      <c r="I149" s="228"/>
      <c r="J149" s="228"/>
      <c r="K149" s="230"/>
      <c r="P149" s="2"/>
    </row>
    <row r="150" spans="1:16" ht="12.75">
      <c r="A150" s="188" t="str">
        <f>A84</f>
        <v>Primary Energy/Yr</v>
      </c>
      <c r="B150" s="226"/>
      <c r="C150" s="190">
        <f>C148*$C$78/1000</f>
        <v>0</v>
      </c>
      <c r="D150" s="189" t="s">
        <v>81</v>
      </c>
      <c r="E150" s="226"/>
      <c r="F150" s="226"/>
      <c r="G150" s="193" t="str">
        <f>G84</f>
        <v>A/C Energy/Yr</v>
      </c>
      <c r="H150" s="190">
        <f>H148*$J$78/1000</f>
        <v>0</v>
      </c>
      <c r="I150" s="189" t="s">
        <v>81</v>
      </c>
      <c r="J150" s="198"/>
      <c r="K150" s="199"/>
      <c r="P150" s="2"/>
    </row>
    <row r="151" spans="1:16" ht="12.75">
      <c r="A151" s="200"/>
      <c r="B151" s="228"/>
      <c r="C151" s="202"/>
      <c r="D151" s="203"/>
      <c r="E151" s="228"/>
      <c r="F151" s="228"/>
      <c r="G151" s="203"/>
      <c r="H151" s="228"/>
      <c r="I151" s="228"/>
      <c r="J151" s="202"/>
      <c r="K151" s="229"/>
      <c r="P151" s="2"/>
    </row>
    <row r="152" spans="1:16" ht="12.75">
      <c r="A152" s="181" t="s">
        <v>94</v>
      </c>
      <c r="B152" s="207"/>
      <c r="C152" s="208"/>
      <c r="D152" s="222"/>
      <c r="E152" s="222"/>
      <c r="F152" s="224"/>
      <c r="G152" s="2"/>
      <c r="H152" s="2"/>
      <c r="I152" s="2"/>
      <c r="J152" s="2"/>
      <c r="K152" s="196"/>
      <c r="P152" s="2"/>
    </row>
    <row r="153" spans="1:16" ht="12.75">
      <c r="A153" s="188" t="s">
        <v>95</v>
      </c>
      <c r="B153" s="226"/>
      <c r="C153" s="190">
        <f>(C150+H150)*F50</f>
        <v>0</v>
      </c>
      <c r="D153" s="189" t="s">
        <v>81</v>
      </c>
      <c r="E153" s="226"/>
      <c r="F153" s="227"/>
      <c r="G153" s="2"/>
      <c r="H153" s="2"/>
      <c r="I153" s="2"/>
      <c r="J153" s="2"/>
      <c r="K153" s="196"/>
      <c r="P153" s="2"/>
    </row>
    <row r="154" spans="1:16" ht="12.75">
      <c r="A154" s="251" t="s">
        <v>96</v>
      </c>
      <c r="B154" s="228"/>
      <c r="C154" s="228"/>
      <c r="D154" s="228"/>
      <c r="E154" s="228"/>
      <c r="F154" s="252"/>
      <c r="G154" s="2"/>
      <c r="H154" s="212" t="s">
        <v>100</v>
      </c>
      <c r="I154" s="209"/>
      <c r="J154" s="209"/>
      <c r="K154" s="210"/>
      <c r="P154" s="2"/>
    </row>
    <row r="155" spans="1:16" ht="12.75">
      <c r="A155" s="188" t="s">
        <v>98</v>
      </c>
      <c r="B155" s="226"/>
      <c r="C155" s="214">
        <f>C153*$I$28</f>
        <v>0</v>
      </c>
      <c r="D155" s="198"/>
      <c r="E155" s="226"/>
      <c r="F155" s="253"/>
      <c r="G155" s="2"/>
      <c r="H155" s="2"/>
      <c r="I155" s="2"/>
      <c r="J155" s="2"/>
      <c r="K155" s="196"/>
      <c r="P155" s="2"/>
    </row>
    <row r="156" spans="1:16" ht="13.5" thickBot="1">
      <c r="A156" s="232"/>
      <c r="B156" s="233"/>
      <c r="C156" s="234"/>
      <c r="D156" s="235"/>
      <c r="E156" s="233"/>
      <c r="F156" s="233"/>
      <c r="G156" s="153"/>
      <c r="H156" s="153"/>
      <c r="I156" s="153"/>
      <c r="J156" s="153"/>
      <c r="K156" s="258"/>
      <c r="P156" s="2"/>
    </row>
    <row r="157" ht="12.75">
      <c r="P157" s="2"/>
    </row>
    <row r="158" spans="1:5" ht="19.5">
      <c r="A158" s="154" t="s">
        <v>101</v>
      </c>
      <c r="B158" s="155"/>
      <c r="C158" s="156"/>
      <c r="D158" s="157"/>
      <c r="E158" s="158"/>
    </row>
    <row r="159" ht="13.5" thickBot="1"/>
    <row r="160" spans="1:10" ht="12.75">
      <c r="A160" s="159" t="s">
        <v>102</v>
      </c>
      <c r="B160" s="160"/>
      <c r="C160" s="160"/>
      <c r="D160" s="161"/>
      <c r="G160" s="159" t="s">
        <v>103</v>
      </c>
      <c r="H160" s="160"/>
      <c r="I160" s="160"/>
      <c r="J160" s="161"/>
    </row>
    <row r="161" spans="1:10" ht="12.75">
      <c r="A161" s="164" t="s">
        <v>64</v>
      </c>
      <c r="B161" s="27"/>
      <c r="C161" s="165">
        <v>5</v>
      </c>
      <c r="D161" s="166" t="s">
        <v>65</v>
      </c>
      <c r="G161" s="164" t="s">
        <v>64</v>
      </c>
      <c r="H161" s="27"/>
      <c r="I161" s="165">
        <v>5</v>
      </c>
      <c r="J161" s="166" t="s">
        <v>65</v>
      </c>
    </row>
    <row r="162" spans="1:10" ht="12.75">
      <c r="A162" s="164" t="s">
        <v>68</v>
      </c>
      <c r="B162" s="27"/>
      <c r="C162" s="267">
        <v>0.02</v>
      </c>
      <c r="D162" s="166" t="s">
        <v>69</v>
      </c>
      <c r="F162" s="171"/>
      <c r="G162" s="164" t="s">
        <v>68</v>
      </c>
      <c r="H162" s="27"/>
      <c r="I162" s="268">
        <v>0.0015</v>
      </c>
      <c r="J162" s="166" t="s">
        <v>69</v>
      </c>
    </row>
    <row r="163" spans="1:10" ht="13.5" thickBot="1">
      <c r="A163" s="173" t="s">
        <v>104</v>
      </c>
      <c r="B163" s="174"/>
      <c r="C163" s="269">
        <f>1*C161*C162</f>
        <v>0.1</v>
      </c>
      <c r="D163" s="176" t="s">
        <v>67</v>
      </c>
      <c r="G163" s="173" t="s">
        <v>104</v>
      </c>
      <c r="H163" s="174"/>
      <c r="I163" s="269">
        <f>1*I161*I162</f>
        <v>0.0075</v>
      </c>
      <c r="J163" s="176" t="s">
        <v>67</v>
      </c>
    </row>
    <row r="164" spans="1:4" ht="13.5" thickBot="1">
      <c r="A164" s="27"/>
      <c r="B164" s="27"/>
      <c r="C164" s="27"/>
      <c r="D164" s="27"/>
    </row>
    <row r="165" spans="1:11" ht="13.5" thickBot="1">
      <c r="A165" s="178" t="s">
        <v>105</v>
      </c>
      <c r="B165" s="179"/>
      <c r="C165" s="180"/>
      <c r="D165" s="162"/>
      <c r="E165" s="162"/>
      <c r="F165" s="162"/>
      <c r="G165" s="162"/>
      <c r="H165" s="162"/>
      <c r="I165" s="162"/>
      <c r="J165" s="162"/>
      <c r="K165" s="163"/>
    </row>
    <row r="166" spans="1:11" ht="12.75">
      <c r="A166" s="181" t="s">
        <v>106</v>
      </c>
      <c r="B166" s="182"/>
      <c r="C166" s="182"/>
      <c r="D166" s="182"/>
      <c r="E166" s="182"/>
      <c r="F166" s="183"/>
      <c r="G166" s="184" t="s">
        <v>107</v>
      </c>
      <c r="H166" s="182"/>
      <c r="I166" s="182"/>
      <c r="J166" s="182"/>
      <c r="K166" s="185"/>
    </row>
    <row r="167" spans="1:11" ht="12.75">
      <c r="A167" s="188" t="s">
        <v>108</v>
      </c>
      <c r="B167" s="189"/>
      <c r="C167" s="190">
        <f>IF(E39&gt;E40,52*E40,52*E39)</f>
        <v>3640</v>
      </c>
      <c r="D167" s="189" t="s">
        <v>76</v>
      </c>
      <c r="E167" s="191"/>
      <c r="F167" s="192"/>
      <c r="G167" s="193" t="s">
        <v>109</v>
      </c>
      <c r="H167" s="189"/>
      <c r="I167" s="190">
        <f>IF((E39-E40)&gt;0,(E39-E40)*52,0)</f>
        <v>5096</v>
      </c>
      <c r="J167" s="189" t="s">
        <v>76</v>
      </c>
      <c r="K167" s="270"/>
    </row>
    <row r="168" spans="1:11" ht="12.75">
      <c r="A168" s="181" t="s">
        <v>110</v>
      </c>
      <c r="B168" s="182"/>
      <c r="C168" s="197"/>
      <c r="D168" s="182"/>
      <c r="E168" s="182"/>
      <c r="F168" s="183"/>
      <c r="G168" s="184" t="s">
        <v>111</v>
      </c>
      <c r="H168" s="182"/>
      <c r="I168" s="197"/>
      <c r="J168" s="182"/>
      <c r="K168" s="185"/>
    </row>
    <row r="169" spans="1:11" ht="12.75">
      <c r="A169" s="188" t="s">
        <v>112</v>
      </c>
      <c r="B169" s="191"/>
      <c r="C169" s="271">
        <f>$C$163*C167/1000</f>
        <v>0.364</v>
      </c>
      <c r="D169" s="189" t="s">
        <v>81</v>
      </c>
      <c r="E169" s="191"/>
      <c r="F169" s="192"/>
      <c r="G169" s="193" t="s">
        <v>112</v>
      </c>
      <c r="H169" s="191"/>
      <c r="I169" s="271">
        <f>I$163*I167/1000</f>
        <v>0.03822</v>
      </c>
      <c r="J169" s="189" t="s">
        <v>81</v>
      </c>
      <c r="K169" s="270"/>
    </row>
    <row r="170" spans="1:11" ht="12.75">
      <c r="A170" s="200"/>
      <c r="B170" s="201"/>
      <c r="C170" s="202"/>
      <c r="D170" s="203"/>
      <c r="E170" s="201"/>
      <c r="F170" s="201"/>
      <c r="G170" s="171"/>
      <c r="H170" s="204"/>
      <c r="I170" s="204"/>
      <c r="J170" s="205"/>
      <c r="K170" s="206"/>
    </row>
    <row r="171" spans="1:11" ht="12.75">
      <c r="A171" s="181" t="s">
        <v>113</v>
      </c>
      <c r="B171" s="207"/>
      <c r="C171" s="208"/>
      <c r="D171" s="182"/>
      <c r="E171" s="182"/>
      <c r="F171" s="182"/>
      <c r="G171" s="272"/>
      <c r="H171" s="209"/>
      <c r="I171" s="209"/>
      <c r="J171" s="209"/>
      <c r="K171" s="210"/>
    </row>
    <row r="172" spans="1:11" ht="12.75">
      <c r="A172" s="188" t="s">
        <v>114</v>
      </c>
      <c r="B172" s="191"/>
      <c r="C172" s="273">
        <f>(C169+I169)*F38</f>
        <v>40.221999999999994</v>
      </c>
      <c r="D172" s="189" t="s">
        <v>81</v>
      </c>
      <c r="E172" s="191"/>
      <c r="F172" s="191"/>
      <c r="G172" s="274"/>
      <c r="H172" s="204"/>
      <c r="I172" s="204"/>
      <c r="J172" s="204"/>
      <c r="K172" s="211"/>
    </row>
    <row r="173" spans="1:11" ht="12.75">
      <c r="A173" s="181" t="s">
        <v>115</v>
      </c>
      <c r="B173" s="182"/>
      <c r="C173" s="182"/>
      <c r="D173" s="182"/>
      <c r="E173" s="182"/>
      <c r="F173" s="182"/>
      <c r="G173" s="275"/>
      <c r="K173" s="196"/>
    </row>
    <row r="174" spans="1:11" ht="12.75">
      <c r="A174" s="188" t="s">
        <v>116</v>
      </c>
      <c r="B174" s="191"/>
      <c r="C174" s="276">
        <f>C172*$I$28</f>
        <v>2.6144299999999996</v>
      </c>
      <c r="D174" s="198"/>
      <c r="E174" s="191"/>
      <c r="F174" s="191"/>
      <c r="G174" s="277"/>
      <c r="H174" s="204"/>
      <c r="I174" s="204"/>
      <c r="J174" s="213"/>
      <c r="K174" s="211"/>
    </row>
    <row r="175" spans="1:11" ht="16.5" thickBot="1">
      <c r="A175" s="215"/>
      <c r="B175" s="216"/>
      <c r="C175" s="217"/>
      <c r="D175" s="218"/>
      <c r="E175" s="216"/>
      <c r="F175" s="216"/>
      <c r="G175" s="218"/>
      <c r="H175" s="216"/>
      <c r="I175" s="216"/>
      <c r="J175" s="219"/>
      <c r="K175" s="220"/>
    </row>
    <row r="176" spans="1:11" ht="13.5" thickBot="1">
      <c r="A176" s="171"/>
      <c r="B176" s="2"/>
      <c r="C176" s="205"/>
      <c r="D176" s="171"/>
      <c r="E176" s="2"/>
      <c r="F176" s="2"/>
      <c r="G176" s="171"/>
      <c r="H176" s="2"/>
      <c r="I176" s="2"/>
      <c r="J176" s="213"/>
      <c r="K176" s="2"/>
    </row>
    <row r="177" spans="1:11" ht="13.5" thickBot="1">
      <c r="A177" s="178" t="s">
        <v>117</v>
      </c>
      <c r="B177" s="179"/>
      <c r="C177" s="180"/>
      <c r="D177" s="162"/>
      <c r="E177" s="162"/>
      <c r="F177" s="162"/>
      <c r="G177" s="162"/>
      <c r="H177" s="162"/>
      <c r="I177" s="162"/>
      <c r="J177" s="162"/>
      <c r="K177" s="163"/>
    </row>
    <row r="178" spans="1:11" ht="12.75">
      <c r="A178" s="181" t="s">
        <v>106</v>
      </c>
      <c r="B178" s="182"/>
      <c r="C178" s="182"/>
      <c r="D178" s="182"/>
      <c r="E178" s="182"/>
      <c r="F178" s="183"/>
      <c r="G178" s="184" t="s">
        <v>107</v>
      </c>
      <c r="H178" s="182"/>
      <c r="I178" s="182"/>
      <c r="J178" s="182"/>
      <c r="K178" s="185"/>
    </row>
    <row r="179" spans="1:11" ht="12.75">
      <c r="A179" s="188" t="s">
        <v>108</v>
      </c>
      <c r="B179" s="189"/>
      <c r="C179" s="190">
        <f>IF(E45&gt;E46,52*E46,52*E45)</f>
        <v>0</v>
      </c>
      <c r="D179" s="189" t="s">
        <v>76</v>
      </c>
      <c r="E179" s="191"/>
      <c r="F179" s="192"/>
      <c r="G179" s="193" t="s">
        <v>109</v>
      </c>
      <c r="H179" s="189"/>
      <c r="I179" s="190">
        <f>IF((E45-E46)&gt;0,(E45-E46)*52,0)</f>
        <v>0</v>
      </c>
      <c r="J179" s="189" t="s">
        <v>76</v>
      </c>
      <c r="K179" s="270"/>
    </row>
    <row r="180" spans="1:11" ht="12.75">
      <c r="A180" s="181" t="s">
        <v>110</v>
      </c>
      <c r="B180" s="182"/>
      <c r="C180" s="197"/>
      <c r="D180" s="182"/>
      <c r="E180" s="182"/>
      <c r="F180" s="183"/>
      <c r="G180" s="184" t="s">
        <v>111</v>
      </c>
      <c r="H180" s="182"/>
      <c r="I180" s="197"/>
      <c r="J180" s="182"/>
      <c r="K180" s="185"/>
    </row>
    <row r="181" spans="1:11" ht="12.75">
      <c r="A181" s="188" t="s">
        <v>112</v>
      </c>
      <c r="B181" s="191"/>
      <c r="C181" s="271">
        <f>$C$163*C179/1000</f>
        <v>0</v>
      </c>
      <c r="D181" s="189" t="s">
        <v>81</v>
      </c>
      <c r="E181" s="191"/>
      <c r="F181" s="192"/>
      <c r="G181" s="193" t="s">
        <v>112</v>
      </c>
      <c r="H181" s="191"/>
      <c r="I181" s="271">
        <f>I$163*I179/1000</f>
        <v>0</v>
      </c>
      <c r="J181" s="189" t="s">
        <v>81</v>
      </c>
      <c r="K181" s="270"/>
    </row>
    <row r="182" spans="1:11" ht="12.75">
      <c r="A182" s="200"/>
      <c r="B182" s="201"/>
      <c r="C182" s="202"/>
      <c r="D182" s="203"/>
      <c r="E182" s="201"/>
      <c r="F182" s="201"/>
      <c r="G182" s="171"/>
      <c r="H182" s="204"/>
      <c r="I182" s="204"/>
      <c r="J182" s="205"/>
      <c r="K182" s="206"/>
    </row>
    <row r="183" spans="1:11" ht="12.75">
      <c r="A183" s="181" t="s">
        <v>113</v>
      </c>
      <c r="B183" s="207"/>
      <c r="C183" s="208"/>
      <c r="D183" s="182"/>
      <c r="E183" s="182"/>
      <c r="F183" s="182"/>
      <c r="G183" s="272"/>
      <c r="H183" s="209"/>
      <c r="I183" s="209"/>
      <c r="J183" s="209"/>
      <c r="K183" s="210"/>
    </row>
    <row r="184" spans="1:11" ht="12.75">
      <c r="A184" s="188" t="s">
        <v>114</v>
      </c>
      <c r="B184" s="191"/>
      <c r="C184" s="273">
        <f>(C181+I181)*F44</f>
        <v>0</v>
      </c>
      <c r="D184" s="189" t="s">
        <v>81</v>
      </c>
      <c r="E184" s="191"/>
      <c r="F184" s="191"/>
      <c r="G184" s="274"/>
      <c r="H184" s="204"/>
      <c r="I184" s="204"/>
      <c r="J184" s="204"/>
      <c r="K184" s="211"/>
    </row>
    <row r="185" spans="1:11" ht="12.75">
      <c r="A185" s="181" t="s">
        <v>115</v>
      </c>
      <c r="B185" s="182"/>
      <c r="C185" s="182"/>
      <c r="D185" s="182"/>
      <c r="E185" s="182"/>
      <c r="F185" s="182"/>
      <c r="G185" s="275"/>
      <c r="K185" s="196"/>
    </row>
    <row r="186" spans="1:11" ht="12.75">
      <c r="A186" s="188" t="s">
        <v>116</v>
      </c>
      <c r="B186" s="191"/>
      <c r="C186" s="276">
        <f>C184*$I$28</f>
        <v>0</v>
      </c>
      <c r="D186" s="198"/>
      <c r="E186" s="191"/>
      <c r="F186" s="191"/>
      <c r="G186" s="277"/>
      <c r="H186" s="204"/>
      <c r="I186" s="204"/>
      <c r="J186" s="213"/>
      <c r="K186" s="211"/>
    </row>
    <row r="187" spans="1:11" ht="16.5" thickBot="1">
      <c r="A187" s="215"/>
      <c r="B187" s="216"/>
      <c r="C187" s="217"/>
      <c r="D187" s="218"/>
      <c r="E187" s="216"/>
      <c r="F187" s="216"/>
      <c r="G187" s="218"/>
      <c r="H187" s="216"/>
      <c r="I187" s="216"/>
      <c r="J187" s="219"/>
      <c r="K187" s="220"/>
    </row>
    <row r="188" spans="1:11" ht="13.5" thickBot="1">
      <c r="A188" s="171"/>
      <c r="B188" s="2"/>
      <c r="C188" s="205"/>
      <c r="D188" s="171"/>
      <c r="E188" s="2"/>
      <c r="F188" s="2"/>
      <c r="G188" s="171"/>
      <c r="H188" s="2"/>
      <c r="I188" s="2"/>
      <c r="J188" s="213"/>
      <c r="K188" s="2"/>
    </row>
    <row r="189" spans="1:11" ht="13.5" thickBot="1">
      <c r="A189" s="178" t="s">
        <v>118</v>
      </c>
      <c r="B189" s="179"/>
      <c r="C189" s="180"/>
      <c r="D189" s="162"/>
      <c r="E189" s="162"/>
      <c r="F189" s="162"/>
      <c r="G189" s="162"/>
      <c r="H189" s="162"/>
      <c r="I189" s="162"/>
      <c r="J189" s="162"/>
      <c r="K189" s="163"/>
    </row>
    <row r="190" spans="1:11" ht="12.75">
      <c r="A190" s="181" t="s">
        <v>106</v>
      </c>
      <c r="B190" s="182"/>
      <c r="C190" s="182"/>
      <c r="D190" s="182"/>
      <c r="E190" s="182"/>
      <c r="F190" s="183"/>
      <c r="G190" s="184" t="s">
        <v>107</v>
      </c>
      <c r="H190" s="182"/>
      <c r="I190" s="182"/>
      <c r="J190" s="182"/>
      <c r="K190" s="185"/>
    </row>
    <row r="191" spans="1:11" ht="12.75">
      <c r="A191" s="188" t="s">
        <v>108</v>
      </c>
      <c r="B191" s="189"/>
      <c r="C191" s="190">
        <f>IF(E51&gt;E52,52*E52,52*E51)</f>
        <v>0</v>
      </c>
      <c r="D191" s="189" t="s">
        <v>76</v>
      </c>
      <c r="E191" s="191"/>
      <c r="F191" s="192"/>
      <c r="G191" s="193" t="s">
        <v>109</v>
      </c>
      <c r="H191" s="189"/>
      <c r="I191" s="190">
        <f>IF((E51-E52)&gt;0,(E51-E52)*52,0)</f>
        <v>0</v>
      </c>
      <c r="J191" s="189" t="s">
        <v>76</v>
      </c>
      <c r="K191" s="270"/>
    </row>
    <row r="192" spans="1:11" ht="12.75">
      <c r="A192" s="181" t="s">
        <v>110</v>
      </c>
      <c r="B192" s="182"/>
      <c r="C192" s="197"/>
      <c r="D192" s="182"/>
      <c r="E192" s="182"/>
      <c r="F192" s="183"/>
      <c r="G192" s="184" t="s">
        <v>111</v>
      </c>
      <c r="H192" s="182"/>
      <c r="I192" s="197"/>
      <c r="J192" s="182"/>
      <c r="K192" s="185"/>
    </row>
    <row r="193" spans="1:11" ht="12.75">
      <c r="A193" s="188" t="s">
        <v>112</v>
      </c>
      <c r="B193" s="191"/>
      <c r="C193" s="271">
        <f>$C$163*C191/1000</f>
        <v>0</v>
      </c>
      <c r="D193" s="189" t="s">
        <v>81</v>
      </c>
      <c r="E193" s="191"/>
      <c r="F193" s="192"/>
      <c r="G193" s="193" t="s">
        <v>112</v>
      </c>
      <c r="H193" s="191"/>
      <c r="I193" s="271">
        <f>I$163*I191/1000</f>
        <v>0</v>
      </c>
      <c r="J193" s="189" t="s">
        <v>81</v>
      </c>
      <c r="K193" s="270"/>
    </row>
    <row r="194" spans="1:11" ht="12.75">
      <c r="A194" s="200"/>
      <c r="B194" s="201"/>
      <c r="C194" s="202"/>
      <c r="D194" s="203"/>
      <c r="E194" s="201"/>
      <c r="F194" s="201"/>
      <c r="G194" s="171"/>
      <c r="H194" s="204"/>
      <c r="I194" s="204"/>
      <c r="J194" s="205"/>
      <c r="K194" s="206"/>
    </row>
    <row r="195" spans="1:11" ht="12.75">
      <c r="A195" s="181" t="s">
        <v>113</v>
      </c>
      <c r="B195" s="207"/>
      <c r="C195" s="208"/>
      <c r="D195" s="182"/>
      <c r="E195" s="182"/>
      <c r="F195" s="182"/>
      <c r="G195" s="272"/>
      <c r="H195" s="209"/>
      <c r="I195" s="209"/>
      <c r="J195" s="209"/>
      <c r="K195" s="210"/>
    </row>
    <row r="196" spans="1:11" ht="12.75">
      <c r="A196" s="188" t="s">
        <v>114</v>
      </c>
      <c r="B196" s="191"/>
      <c r="C196" s="273">
        <f>(C193+I193)*F50</f>
        <v>0</v>
      </c>
      <c r="D196" s="189" t="s">
        <v>81</v>
      </c>
      <c r="E196" s="191"/>
      <c r="F196" s="191"/>
      <c r="G196" s="274"/>
      <c r="H196" s="204"/>
      <c r="I196" s="204"/>
      <c r="J196" s="204"/>
      <c r="K196" s="211"/>
    </row>
    <row r="197" spans="1:11" ht="12.75">
      <c r="A197" s="181" t="s">
        <v>115</v>
      </c>
      <c r="B197" s="182"/>
      <c r="C197" s="182"/>
      <c r="D197" s="182"/>
      <c r="E197" s="182"/>
      <c r="F197" s="182"/>
      <c r="G197" s="275"/>
      <c r="K197" s="196"/>
    </row>
    <row r="198" spans="1:11" ht="12.75">
      <c r="A198" s="188" t="s">
        <v>116</v>
      </c>
      <c r="B198" s="191"/>
      <c r="C198" s="276">
        <f>C196*$I$28</f>
        <v>0</v>
      </c>
      <c r="D198" s="198"/>
      <c r="E198" s="191"/>
      <c r="F198" s="191"/>
      <c r="G198" s="277"/>
      <c r="H198" s="204"/>
      <c r="I198" s="204"/>
      <c r="J198" s="213"/>
      <c r="K198" s="211"/>
    </row>
    <row r="199" spans="1:11" ht="16.5" thickBot="1">
      <c r="A199" s="215"/>
      <c r="B199" s="216"/>
      <c r="C199" s="217"/>
      <c r="D199" s="218"/>
      <c r="E199" s="216"/>
      <c r="F199" s="216"/>
      <c r="G199" s="218"/>
      <c r="H199" s="216"/>
      <c r="I199" s="216"/>
      <c r="J199" s="219"/>
      <c r="K199" s="220"/>
    </row>
    <row r="202" ht="19.5">
      <c r="A202" s="154" t="s">
        <v>119</v>
      </c>
    </row>
    <row r="204" spans="1:7" ht="12.75">
      <c r="A204" s="278" t="s">
        <v>120</v>
      </c>
      <c r="B204" s="279"/>
      <c r="C204" s="279"/>
      <c r="D204" s="279"/>
      <c r="E204" s="279"/>
      <c r="F204" s="279"/>
      <c r="G204" s="280"/>
    </row>
    <row r="205" spans="1:8" ht="12.75">
      <c r="A205" s="281" t="s">
        <v>121</v>
      </c>
      <c r="B205" s="198"/>
      <c r="C205" s="198"/>
      <c r="D205" s="214">
        <f>C89+C101+C113</f>
        <v>24330.033000000003</v>
      </c>
      <c r="E205" s="198"/>
      <c r="F205" s="198"/>
      <c r="G205" s="253"/>
      <c r="H205" s="282" t="s">
        <v>122</v>
      </c>
    </row>
    <row r="208" spans="1:7" ht="12.75">
      <c r="A208" s="278" t="s">
        <v>123</v>
      </c>
      <c r="B208" s="279"/>
      <c r="C208" s="279"/>
      <c r="D208" s="279"/>
      <c r="E208" s="279"/>
      <c r="F208" s="279"/>
      <c r="G208" s="280"/>
    </row>
    <row r="209" spans="1:8" ht="12.75">
      <c r="A209" s="281" t="s">
        <v>124</v>
      </c>
      <c r="B209" s="198"/>
      <c r="C209" s="198"/>
      <c r="D209" s="214">
        <f>C131+C143+C155</f>
        <v>12543.409666666668</v>
      </c>
      <c r="E209" s="198"/>
      <c r="F209" s="198"/>
      <c r="G209" s="253"/>
      <c r="H209" s="282" t="s">
        <v>125</v>
      </c>
    </row>
    <row r="211" spans="1:7" ht="12.75">
      <c r="A211" s="278" t="s">
        <v>126</v>
      </c>
      <c r="B211" s="279"/>
      <c r="C211" s="279"/>
      <c r="D211" s="279"/>
      <c r="E211" s="279"/>
      <c r="F211" s="279"/>
      <c r="G211" s="280"/>
    </row>
    <row r="212" spans="1:8" ht="12.75">
      <c r="A212" s="281" t="s">
        <v>127</v>
      </c>
      <c r="B212" s="198"/>
      <c r="C212" s="198"/>
      <c r="D212" s="276">
        <f>C174+C186+C198</f>
        <v>2.6144299999999996</v>
      </c>
      <c r="E212" s="198"/>
      <c r="F212" s="198"/>
      <c r="G212" s="253"/>
      <c r="H212" s="282" t="s">
        <v>128</v>
      </c>
    </row>
    <row r="214" spans="1:7" ht="12.75">
      <c r="A214" s="278" t="s">
        <v>199</v>
      </c>
      <c r="B214" s="279"/>
      <c r="C214" s="279"/>
      <c r="D214" s="279"/>
      <c r="E214" s="279"/>
      <c r="F214" s="279"/>
      <c r="G214" s="280"/>
    </row>
    <row r="215" spans="1:8" ht="12.75">
      <c r="A215" s="281" t="s">
        <v>200</v>
      </c>
      <c r="B215" s="198"/>
      <c r="C215" s="198"/>
      <c r="D215" s="309">
        <f>C87+C99+C111-C129-C141-C153</f>
        <v>181332.66666666666</v>
      </c>
      <c r="E215" s="198"/>
      <c r="F215" s="198"/>
      <c r="G215" s="253"/>
      <c r="H215" s="282" t="s">
        <v>201</v>
      </c>
    </row>
    <row r="217" spans="1:7" ht="12.75">
      <c r="A217" s="278" t="s">
        <v>129</v>
      </c>
      <c r="B217" s="279"/>
      <c r="C217" s="279"/>
      <c r="D217" s="279"/>
      <c r="E217" s="279"/>
      <c r="F217" s="279"/>
      <c r="G217" s="280"/>
    </row>
    <row r="218" spans="1:8" ht="12.75">
      <c r="A218" s="281" t="s">
        <v>130</v>
      </c>
      <c r="B218" s="198"/>
      <c r="C218" s="198"/>
      <c r="D218" s="214">
        <f>D205-(D209+D212)</f>
        <v>11784.008903333335</v>
      </c>
      <c r="E218" s="198"/>
      <c r="F218" s="198"/>
      <c r="G218" s="253"/>
      <c r="H218" s="282" t="s">
        <v>131</v>
      </c>
    </row>
    <row r="220" spans="1:7" ht="12.75">
      <c r="A220" s="278" t="s">
        <v>132</v>
      </c>
      <c r="B220" s="279"/>
      <c r="C220" s="279"/>
      <c r="D220" s="279"/>
      <c r="E220" s="279"/>
      <c r="F220" s="279"/>
      <c r="G220" s="280"/>
    </row>
    <row r="221" spans="1:8" ht="12.75">
      <c r="A221" s="281" t="s">
        <v>133</v>
      </c>
      <c r="B221" s="198"/>
      <c r="C221" s="198"/>
      <c r="D221" s="276">
        <f>D218/(F38+F44+F50)</f>
        <v>117.84008903333336</v>
      </c>
      <c r="E221" s="198"/>
      <c r="F221" s="198"/>
      <c r="G221" s="253"/>
      <c r="H221" s="282" t="s">
        <v>134</v>
      </c>
    </row>
    <row r="223" ht="19.5">
      <c r="A223" s="154" t="s">
        <v>135</v>
      </c>
    </row>
    <row r="224" ht="13.5" thickBot="1"/>
    <row r="225" spans="1:6" ht="12.75">
      <c r="A225" s="283" t="s">
        <v>136</v>
      </c>
      <c r="B225" s="284"/>
      <c r="C225" s="162"/>
      <c r="D225" s="162"/>
      <c r="E225" s="162"/>
      <c r="F225" s="163"/>
    </row>
    <row r="226" spans="1:6" ht="12.75">
      <c r="A226" s="285" t="s">
        <v>137</v>
      </c>
      <c r="B226" s="279"/>
      <c r="C226" s="279"/>
      <c r="D226" s="279"/>
      <c r="E226" s="279"/>
      <c r="F226" s="286"/>
    </row>
    <row r="227" spans="1:6" ht="12.75">
      <c r="A227" s="287" t="s">
        <v>21</v>
      </c>
      <c r="B227" s="198"/>
      <c r="C227" s="288">
        <f>(I69*I66)/D218*12</f>
        <v>18.22809213418361</v>
      </c>
      <c r="D227" s="198"/>
      <c r="E227" s="198"/>
      <c r="F227" s="199"/>
    </row>
    <row r="228" spans="1:11" ht="12.75">
      <c r="A228" s="289" t="s">
        <v>138</v>
      </c>
      <c r="B228" s="2"/>
      <c r="C228" s="2"/>
      <c r="D228" s="2"/>
      <c r="E228" s="2"/>
      <c r="F228" s="196"/>
      <c r="H228" s="212" t="s">
        <v>139</v>
      </c>
      <c r="I228" s="2"/>
      <c r="J228" s="2"/>
      <c r="K228" s="2"/>
    </row>
    <row r="229" spans="1:6" ht="12.75">
      <c r="A229" s="290" t="s">
        <v>22</v>
      </c>
      <c r="B229" s="2"/>
      <c r="C229" s="213">
        <f>$D$218-$I$66*$I$69</f>
        <v>-6115.991096666665</v>
      </c>
      <c r="D229" s="2"/>
      <c r="E229" s="2"/>
      <c r="F229" s="196"/>
    </row>
    <row r="230" spans="1:6" ht="12.75">
      <c r="A230" s="285" t="s">
        <v>140</v>
      </c>
      <c r="B230" s="279"/>
      <c r="C230" s="279"/>
      <c r="D230" s="279"/>
      <c r="E230" s="279"/>
      <c r="F230" s="286"/>
    </row>
    <row r="231" spans="1:6" ht="12.75">
      <c r="A231" s="287" t="s">
        <v>23</v>
      </c>
      <c r="B231" s="198"/>
      <c r="C231" s="291">
        <f>$D$218/($I$66*$I$69)</f>
        <v>0.6583245197392925</v>
      </c>
      <c r="D231" s="198"/>
      <c r="E231" s="198"/>
      <c r="F231" s="199"/>
    </row>
    <row r="232" spans="1:6" ht="13.5" thickBot="1">
      <c r="A232" s="292"/>
      <c r="B232" s="153"/>
      <c r="C232" s="153"/>
      <c r="D232" s="153"/>
      <c r="E232" s="153"/>
      <c r="F232" s="258"/>
    </row>
    <row r="233" ht="13.5" thickBot="1"/>
    <row r="234" spans="1:6" ht="12.75">
      <c r="A234" s="283" t="s">
        <v>141</v>
      </c>
      <c r="B234" s="284"/>
      <c r="C234" s="162"/>
      <c r="D234" s="162"/>
      <c r="E234" s="162"/>
      <c r="F234" s="163"/>
    </row>
    <row r="235" spans="1:6" ht="12.75">
      <c r="A235" s="289" t="s">
        <v>142</v>
      </c>
      <c r="B235" s="2"/>
      <c r="C235" s="2"/>
      <c r="D235" s="2"/>
      <c r="E235" s="2"/>
      <c r="F235" s="196"/>
    </row>
    <row r="236" spans="1:8" ht="12.75">
      <c r="A236" s="290" t="s">
        <v>52</v>
      </c>
      <c r="B236" s="2"/>
      <c r="C236" s="213">
        <f>2*$D$218-$I$66*$I$69</f>
        <v>5668.01780666667</v>
      </c>
      <c r="D236" s="2"/>
      <c r="E236" s="2"/>
      <c r="F236" s="196"/>
      <c r="H236" s="212" t="s">
        <v>143</v>
      </c>
    </row>
    <row r="237" spans="1:6" ht="12.75">
      <c r="A237" s="285" t="s">
        <v>144</v>
      </c>
      <c r="B237" s="279"/>
      <c r="C237" s="279"/>
      <c r="D237" s="279"/>
      <c r="E237" s="279"/>
      <c r="F237" s="286"/>
    </row>
    <row r="238" spans="1:6" ht="12.75">
      <c r="A238" s="287" t="s">
        <v>23</v>
      </c>
      <c r="B238" s="198"/>
      <c r="C238" s="291">
        <f>2*$D$218/($I$66*$I$69)</f>
        <v>1.316649039478585</v>
      </c>
      <c r="D238" s="198"/>
      <c r="E238" s="198"/>
      <c r="F238" s="199"/>
    </row>
    <row r="239" spans="1:6" ht="13.5" thickBot="1">
      <c r="A239" s="292"/>
      <c r="B239" s="153"/>
      <c r="C239" s="153"/>
      <c r="D239" s="153"/>
      <c r="E239" s="153"/>
      <c r="F239" s="258"/>
    </row>
    <row r="240" ht="13.5" thickBot="1"/>
    <row r="241" spans="1:6" ht="12.75">
      <c r="A241" s="283" t="s">
        <v>145</v>
      </c>
      <c r="B241" s="284"/>
      <c r="C241" s="162"/>
      <c r="D241" s="162"/>
      <c r="E241" s="162"/>
      <c r="F241" s="163"/>
    </row>
    <row r="242" spans="1:6" ht="12.75">
      <c r="A242" s="289" t="s">
        <v>146</v>
      </c>
      <c r="B242" s="2"/>
      <c r="C242" s="2"/>
      <c r="D242" s="2"/>
      <c r="E242" s="2"/>
      <c r="F242" s="196"/>
    </row>
    <row r="243" spans="1:8" ht="12.75">
      <c r="A243" s="290" t="s">
        <v>57</v>
      </c>
      <c r="B243" s="2"/>
      <c r="C243" s="213">
        <f>3*$D$218-$I$66*$I$69</f>
        <v>17452.026710000006</v>
      </c>
      <c r="D243" s="2"/>
      <c r="E243" s="2"/>
      <c r="F243" s="196"/>
      <c r="H243" s="212" t="s">
        <v>147</v>
      </c>
    </row>
    <row r="244" spans="1:6" ht="12.75">
      <c r="A244" s="285" t="s">
        <v>148</v>
      </c>
      <c r="B244" s="279"/>
      <c r="C244" s="279"/>
      <c r="D244" s="279"/>
      <c r="E244" s="279"/>
      <c r="F244" s="286"/>
    </row>
    <row r="245" spans="1:6" ht="12.75">
      <c r="A245" s="287" t="s">
        <v>23</v>
      </c>
      <c r="B245" s="198"/>
      <c r="C245" s="291">
        <f>3*$D$218/($I$66*$I$69)</f>
        <v>1.9749735592178774</v>
      </c>
      <c r="D245" s="198"/>
      <c r="E245" s="198"/>
      <c r="F245" s="199"/>
    </row>
    <row r="246" spans="1:6" ht="13.5" thickBot="1">
      <c r="A246" s="292"/>
      <c r="B246" s="153"/>
      <c r="C246" s="153"/>
      <c r="D246" s="153"/>
      <c r="E246" s="153"/>
      <c r="F246" s="258"/>
    </row>
    <row r="247" ht="13.5" customHeight="1"/>
    <row r="248" ht="21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3"/>
  <sheetViews>
    <sheetView workbookViewId="0" topLeftCell="A1">
      <selection activeCell="C34" sqref="C34"/>
    </sheetView>
  </sheetViews>
  <sheetFormatPr defaultColWidth="9.33203125" defaultRowHeight="12.75"/>
  <cols>
    <col min="1" max="1" width="20.83203125" style="0" customWidth="1"/>
    <col min="2" max="2" width="15.83203125" style="0" customWidth="1"/>
    <col min="3" max="3" width="16" style="0" customWidth="1"/>
    <col min="4" max="4" width="20.83203125" style="0" customWidth="1"/>
    <col min="5" max="5" width="8.83203125" style="0" customWidth="1"/>
    <col min="6" max="6" width="13.66015625" style="0" customWidth="1"/>
    <col min="7" max="7" width="16.33203125" style="0" customWidth="1"/>
    <col min="8" max="8" width="23.16015625" style="0" customWidth="1"/>
    <col min="9" max="9" width="12.66015625" style="0" customWidth="1"/>
    <col min="10" max="10" width="10.16015625" style="0" customWidth="1"/>
    <col min="11" max="11" width="15.83203125" style="0" customWidth="1"/>
    <col min="12" max="12" width="16" style="0" customWidth="1"/>
    <col min="13" max="13" width="17.16015625" style="0" customWidth="1"/>
    <col min="14" max="14" width="12.33203125" style="0" customWidth="1"/>
    <col min="15" max="16" width="10.16015625" style="0" customWidth="1"/>
    <col min="17" max="17" width="25.83203125" style="0" customWidth="1"/>
    <col min="18" max="19" width="10.16015625" style="0" customWidth="1"/>
    <col min="20" max="20" width="11.66015625" style="0" customWidth="1"/>
    <col min="21" max="23" width="10.16015625" style="0" customWidth="1"/>
    <col min="24" max="24" width="12.16015625" style="0" customWidth="1"/>
    <col min="25" max="25" width="10.16015625" style="0" customWidth="1"/>
    <col min="26" max="26" width="10.66015625" style="2" customWidth="1"/>
    <col min="27" max="27" width="15" style="0" customWidth="1"/>
    <col min="28" max="28" width="13.33203125" style="0" customWidth="1"/>
    <col min="29" max="30" width="10.16015625" style="0" customWidth="1"/>
    <col min="31" max="31" width="12" style="0" customWidth="1"/>
    <col min="32" max="32" width="24.83203125" style="0" customWidth="1"/>
    <col min="33" max="16384" width="10.16015625" style="0" customWidth="1"/>
  </cols>
  <sheetData>
    <row r="1" spans="1:4" ht="16.5" thickBot="1">
      <c r="A1" s="293" t="s">
        <v>0</v>
      </c>
      <c r="B1" s="294"/>
      <c r="C1" s="294"/>
      <c r="D1" s="295"/>
    </row>
    <row r="2" spans="1:4" ht="12.75">
      <c r="A2" s="3" t="s">
        <v>1</v>
      </c>
      <c r="B2" s="4" t="s">
        <v>149</v>
      </c>
      <c r="C2" s="4" t="s">
        <v>150</v>
      </c>
      <c r="D2" s="296" t="s">
        <v>4</v>
      </c>
    </row>
    <row r="3" spans="1:4" ht="12.75">
      <c r="A3" s="7" t="s">
        <v>6</v>
      </c>
      <c r="B3" s="307">
        <f>Summary!$F$7</f>
        <v>10</v>
      </c>
      <c r="C3" s="8">
        <v>168</v>
      </c>
      <c r="D3" s="318">
        <f>Summary!$F$5</f>
        <v>70</v>
      </c>
    </row>
    <row r="4" spans="1:4" ht="12.75">
      <c r="A4" s="11" t="s">
        <v>7</v>
      </c>
      <c r="B4" s="8"/>
      <c r="C4" s="8"/>
      <c r="D4" s="297"/>
    </row>
    <row r="5" spans="1:4" ht="13.5" thickBot="1">
      <c r="A5" s="12" t="s">
        <v>8</v>
      </c>
      <c r="B5" s="13"/>
      <c r="C5" s="14"/>
      <c r="D5" s="298"/>
    </row>
    <row r="6" spans="1:4" ht="13.5" thickBot="1">
      <c r="A6" s="17" t="s">
        <v>151</v>
      </c>
      <c r="B6" s="18">
        <f>SUM(B3:B5)</f>
        <v>10</v>
      </c>
      <c r="C6" s="19"/>
      <c r="D6" s="19"/>
    </row>
    <row r="7" spans="1:4" ht="13.5" thickBot="1">
      <c r="A7" s="19"/>
      <c r="B7" s="21"/>
      <c r="C7" s="19"/>
      <c r="D7" s="19"/>
    </row>
    <row r="8" spans="1:4" ht="12.75">
      <c r="A8" s="22" t="s">
        <v>11</v>
      </c>
      <c r="B8" s="23"/>
      <c r="C8" s="23"/>
      <c r="D8" s="24">
        <f>Summary!$F$4</f>
        <v>0.065</v>
      </c>
    </row>
    <row r="9" spans="1:4" ht="12.75">
      <c r="A9" s="26" t="s">
        <v>12</v>
      </c>
      <c r="B9" s="27"/>
      <c r="C9" s="27"/>
      <c r="D9" s="28">
        <v>2</v>
      </c>
    </row>
    <row r="10" spans="1:4" ht="12.75">
      <c r="A10" s="26" t="s">
        <v>13</v>
      </c>
      <c r="B10" s="27"/>
      <c r="C10" s="27"/>
      <c r="D10" s="29">
        <v>0</v>
      </c>
    </row>
    <row r="11" spans="1:4" ht="12.75">
      <c r="A11" s="26" t="s">
        <v>30</v>
      </c>
      <c r="B11" s="27"/>
      <c r="C11" s="27"/>
      <c r="D11" s="29">
        <v>0</v>
      </c>
    </row>
    <row r="12" spans="1:4" ht="13.5" thickBot="1">
      <c r="A12" s="31" t="s">
        <v>152</v>
      </c>
      <c r="B12" s="32"/>
      <c r="C12" s="32"/>
      <c r="D12" s="299">
        <f>Summary!$F$9/120</f>
        <v>0.8333333333333334</v>
      </c>
    </row>
    <row r="13" spans="1:4" ht="12.75">
      <c r="A13" s="33"/>
      <c r="B13" s="27"/>
      <c r="C13" s="27"/>
      <c r="D13" s="34"/>
    </row>
    <row r="14" spans="1:4" ht="13.5" thickBot="1">
      <c r="A14" s="35" t="s">
        <v>153</v>
      </c>
      <c r="B14" s="36"/>
      <c r="C14" s="37"/>
      <c r="D14" s="38">
        <f>Summary!$F$11</f>
        <v>79</v>
      </c>
    </row>
    <row r="15" ht="13.5" thickBot="1">
      <c r="Z15"/>
    </row>
    <row r="16" spans="1:4" ht="12.75">
      <c r="A16" s="39" t="s">
        <v>20</v>
      </c>
      <c r="B16" s="40"/>
      <c r="C16" s="41"/>
      <c r="D16" s="34"/>
    </row>
    <row r="17" spans="1:4" ht="12.75">
      <c r="A17" s="42" t="s">
        <v>21</v>
      </c>
      <c r="B17" s="43"/>
      <c r="C17" s="44">
        <f>$I$65/$I$57*12</f>
        <v>28.642338905356937</v>
      </c>
      <c r="D17" s="34"/>
    </row>
    <row r="18" spans="1:4" ht="12.75">
      <c r="A18" s="45" t="s">
        <v>22</v>
      </c>
      <c r="B18" s="46"/>
      <c r="C18" s="47">
        <f>$I$57*1-$I$65</f>
        <v>-459.021443</v>
      </c>
      <c r="D18" s="34"/>
    </row>
    <row r="19" spans="1:4" ht="13.5" thickBot="1">
      <c r="A19" s="48" t="s">
        <v>23</v>
      </c>
      <c r="B19" s="49"/>
      <c r="C19" s="50">
        <f>$I$57*1/$I$65</f>
        <v>0.4189601987341772</v>
      </c>
      <c r="D19" s="34"/>
    </row>
    <row r="21" spans="1:26" ht="19.5">
      <c r="A21" s="51" t="s">
        <v>154</v>
      </c>
      <c r="B21" s="52"/>
      <c r="C21" s="52"/>
      <c r="D21" s="53"/>
      <c r="E21" s="53"/>
      <c r="F21" s="52"/>
      <c r="G21" s="52"/>
      <c r="H21" s="52"/>
      <c r="I21" s="52"/>
      <c r="J21" s="54"/>
      <c r="Z21"/>
    </row>
    <row r="22" spans="1:26" ht="12.75">
      <c r="A22" s="55" t="s">
        <v>155</v>
      </c>
      <c r="B22" s="52"/>
      <c r="C22" s="52"/>
      <c r="D22" s="52"/>
      <c r="E22" s="53"/>
      <c r="F22" s="56"/>
      <c r="G22" s="52"/>
      <c r="H22" s="52"/>
      <c r="I22" s="52"/>
      <c r="J22" s="57"/>
      <c r="Z22"/>
    </row>
    <row r="23" spans="1:26" ht="16.5" thickBot="1">
      <c r="A23" s="58" t="s">
        <v>26</v>
      </c>
      <c r="B23" s="59"/>
      <c r="C23" s="59"/>
      <c r="D23" s="60"/>
      <c r="E23" s="60"/>
      <c r="F23" s="60"/>
      <c r="G23" s="60"/>
      <c r="H23" s="60"/>
      <c r="I23" s="60"/>
      <c r="J23" s="61"/>
      <c r="Z23"/>
    </row>
    <row r="24" spans="1:26" ht="16.5" thickBot="1">
      <c r="A24" s="62"/>
      <c r="B24" s="63"/>
      <c r="C24" s="64"/>
      <c r="D24" s="62"/>
      <c r="E24" s="62"/>
      <c r="F24" s="65" t="s">
        <v>27</v>
      </c>
      <c r="G24" s="66"/>
      <c r="H24" s="66"/>
      <c r="I24" s="67"/>
      <c r="J24" s="61"/>
      <c r="Z24"/>
    </row>
    <row r="25" spans="1:26" ht="12.75">
      <c r="A25" s="60"/>
      <c r="B25" s="68" t="s">
        <v>194</v>
      </c>
      <c r="C25" s="69"/>
      <c r="D25" s="70"/>
      <c r="E25" s="62"/>
      <c r="F25" s="71" t="s">
        <v>11</v>
      </c>
      <c r="G25" s="72"/>
      <c r="H25" s="72"/>
      <c r="I25" s="73">
        <f>D8</f>
        <v>0.065</v>
      </c>
      <c r="J25" s="61"/>
      <c r="Z25"/>
    </row>
    <row r="26" spans="1:26" ht="12.75">
      <c r="A26" s="60"/>
      <c r="B26" s="74" t="s">
        <v>195</v>
      </c>
      <c r="C26" s="75"/>
      <c r="D26" s="76"/>
      <c r="E26" s="62"/>
      <c r="F26" s="71" t="s">
        <v>12</v>
      </c>
      <c r="G26" s="72"/>
      <c r="H26" s="72"/>
      <c r="I26" s="78">
        <f>D9</f>
        <v>2</v>
      </c>
      <c r="J26" s="61"/>
      <c r="Z26"/>
    </row>
    <row r="27" spans="1:26" ht="12.75">
      <c r="A27" s="60"/>
      <c r="B27" s="74" t="s">
        <v>196</v>
      </c>
      <c r="C27" s="75"/>
      <c r="D27" s="76"/>
      <c r="E27" s="62"/>
      <c r="F27" s="71" t="s">
        <v>13</v>
      </c>
      <c r="G27" s="72"/>
      <c r="H27" s="72"/>
      <c r="I27" s="82">
        <f>D10</f>
        <v>0</v>
      </c>
      <c r="J27" s="61"/>
      <c r="Z27"/>
    </row>
    <row r="28" spans="1:26" ht="12.75">
      <c r="A28" s="60"/>
      <c r="B28" s="74"/>
      <c r="C28" s="75"/>
      <c r="D28" s="76"/>
      <c r="E28" s="62"/>
      <c r="F28" s="71" t="s">
        <v>30</v>
      </c>
      <c r="G28" s="72"/>
      <c r="H28" s="72"/>
      <c r="I28" s="82">
        <f>D11</f>
        <v>0</v>
      </c>
      <c r="J28" s="61"/>
      <c r="Z28"/>
    </row>
    <row r="29" spans="1:26" ht="12.75" customHeight="1" thickBot="1">
      <c r="A29" s="60"/>
      <c r="B29" s="79"/>
      <c r="C29" s="80"/>
      <c r="D29" s="81"/>
      <c r="E29" s="62"/>
      <c r="F29" s="85" t="s">
        <v>152</v>
      </c>
      <c r="G29" s="86"/>
      <c r="H29" s="86"/>
      <c r="I29" s="87">
        <f>D12</f>
        <v>0.8333333333333334</v>
      </c>
      <c r="J29" s="61"/>
      <c r="Z29"/>
    </row>
    <row r="30" spans="1:26" ht="13.5" thickBot="1">
      <c r="A30" s="61"/>
      <c r="B30" s="88"/>
      <c r="C30" s="61"/>
      <c r="D30" s="61"/>
      <c r="E30" s="89"/>
      <c r="F30" s="61"/>
      <c r="G30" s="90"/>
      <c r="H30" s="91"/>
      <c r="I30" s="61"/>
      <c r="J30" s="61"/>
      <c r="Z30"/>
    </row>
    <row r="31" spans="1:26" ht="13.5" thickBot="1">
      <c r="A31" s="92"/>
      <c r="B31" s="93"/>
      <c r="C31" s="93"/>
      <c r="D31" s="93"/>
      <c r="E31" s="93"/>
      <c r="F31" s="93"/>
      <c r="G31" s="93"/>
      <c r="H31" s="93"/>
      <c r="I31" s="93"/>
      <c r="J31" s="94"/>
      <c r="Z31"/>
    </row>
    <row r="32" spans="1:26" ht="12.75">
      <c r="A32" s="95"/>
      <c r="B32" s="96" t="s">
        <v>156</v>
      </c>
      <c r="C32" s="97"/>
      <c r="D32" s="98"/>
      <c r="E32" s="99"/>
      <c r="F32" s="60"/>
      <c r="G32" s="65" t="s">
        <v>32</v>
      </c>
      <c r="H32" s="100"/>
      <c r="I32" s="101"/>
      <c r="J32" s="102"/>
      <c r="Z32"/>
    </row>
    <row r="33" spans="1:26" ht="12.75">
      <c r="A33" s="95"/>
      <c r="B33" s="103" t="s">
        <v>157</v>
      </c>
      <c r="C33" s="104"/>
      <c r="D33" s="105"/>
      <c r="E33" s="106">
        <f>B3</f>
        <v>10</v>
      </c>
      <c r="F33" s="107">
        <f>IF(E34&gt;0,IF(E35&gt;0,E33,0),0)</f>
        <v>10</v>
      </c>
      <c r="G33" s="108" t="s">
        <v>34</v>
      </c>
      <c r="H33" s="109"/>
      <c r="I33" s="110">
        <f>C84</f>
        <v>567.84</v>
      </c>
      <c r="J33" s="102"/>
      <c r="Z33"/>
    </row>
    <row r="34" spans="1:26" ht="12.75">
      <c r="A34" s="95"/>
      <c r="B34" s="111" t="s">
        <v>35</v>
      </c>
      <c r="C34" s="112"/>
      <c r="D34" s="113"/>
      <c r="E34" s="114">
        <f>C3</f>
        <v>168</v>
      </c>
      <c r="F34" s="60"/>
      <c r="G34" s="115" t="s">
        <v>36</v>
      </c>
      <c r="H34" s="112"/>
      <c r="I34" s="116">
        <f>C126</f>
        <v>236.6</v>
      </c>
      <c r="J34" s="102"/>
      <c r="Z34"/>
    </row>
    <row r="35" spans="1:26" ht="13.5" thickBot="1">
      <c r="A35" s="95"/>
      <c r="B35" s="120" t="s">
        <v>37</v>
      </c>
      <c r="C35" s="121"/>
      <c r="D35" s="122"/>
      <c r="E35" s="300">
        <f>D3</f>
        <v>70</v>
      </c>
      <c r="F35" s="60"/>
      <c r="G35" s="117" t="s">
        <v>38</v>
      </c>
      <c r="H35" s="118"/>
      <c r="I35" s="119">
        <f>I33-I34</f>
        <v>331.24</v>
      </c>
      <c r="J35" s="102"/>
      <c r="Z35"/>
    </row>
    <row r="36" spans="1:41" ht="12.75">
      <c r="A36" s="95"/>
      <c r="B36" s="124"/>
      <c r="C36" s="112"/>
      <c r="D36" s="301"/>
      <c r="E36" s="302"/>
      <c r="F36" s="60"/>
      <c r="G36" s="124"/>
      <c r="H36" s="112"/>
      <c r="I36" s="125"/>
      <c r="J36" s="102"/>
      <c r="Z36"/>
      <c r="AO36" s="2"/>
    </row>
    <row r="37" spans="1:26" ht="12.75">
      <c r="A37" s="95"/>
      <c r="B37" s="124"/>
      <c r="C37" s="112"/>
      <c r="D37" s="301"/>
      <c r="E37" s="302"/>
      <c r="F37" s="60"/>
      <c r="G37" s="124"/>
      <c r="H37" s="112"/>
      <c r="I37" s="125"/>
      <c r="J37" s="102"/>
      <c r="Z37"/>
    </row>
    <row r="38" spans="1:26" ht="13.5" thickBot="1">
      <c r="A38" s="95"/>
      <c r="B38" s="60"/>
      <c r="C38" s="60"/>
      <c r="D38" s="60"/>
      <c r="E38" s="60"/>
      <c r="F38" s="60"/>
      <c r="G38" s="60"/>
      <c r="H38" s="60"/>
      <c r="I38" s="60"/>
      <c r="J38" s="102"/>
      <c r="Z38"/>
    </row>
    <row r="39" spans="1:26" ht="12.75">
      <c r="A39" s="95"/>
      <c r="B39" s="96" t="s">
        <v>158</v>
      </c>
      <c r="C39" s="97"/>
      <c r="D39" s="98"/>
      <c r="E39" s="99"/>
      <c r="F39" s="60"/>
      <c r="G39" s="65" t="s">
        <v>41</v>
      </c>
      <c r="H39" s="100"/>
      <c r="I39" s="101"/>
      <c r="J39" s="102"/>
      <c r="Z39"/>
    </row>
    <row r="40" spans="1:26" ht="12.75">
      <c r="A40" s="95"/>
      <c r="B40" s="103" t="s">
        <v>157</v>
      </c>
      <c r="C40" s="104"/>
      <c r="D40" s="105"/>
      <c r="E40" s="106">
        <f>B4</f>
        <v>0</v>
      </c>
      <c r="F40" s="107">
        <f>IF(E41&gt;0,IF(E42&gt;0,E40,0),0)</f>
        <v>0</v>
      </c>
      <c r="G40" s="108" t="s">
        <v>34</v>
      </c>
      <c r="H40" s="109"/>
      <c r="I40" s="110">
        <f>C96</f>
        <v>0</v>
      </c>
      <c r="J40" s="102"/>
      <c r="Z40"/>
    </row>
    <row r="41" spans="1:26" ht="12.75">
      <c r="A41" s="95"/>
      <c r="B41" s="111" t="s">
        <v>35</v>
      </c>
      <c r="C41" s="112"/>
      <c r="D41" s="113"/>
      <c r="E41" s="114">
        <f>C4</f>
        <v>0</v>
      </c>
      <c r="F41" s="112"/>
      <c r="G41" s="115" t="s">
        <v>36</v>
      </c>
      <c r="H41" s="112"/>
      <c r="I41" s="116">
        <f>C138</f>
        <v>0</v>
      </c>
      <c r="J41" s="102"/>
      <c r="Z41"/>
    </row>
    <row r="42" spans="1:26" ht="13.5" thickBot="1">
      <c r="A42" s="95"/>
      <c r="B42" s="120" t="s">
        <v>37</v>
      </c>
      <c r="C42" s="121"/>
      <c r="D42" s="122"/>
      <c r="E42" s="300">
        <f>D4</f>
        <v>0</v>
      </c>
      <c r="F42" s="60"/>
      <c r="G42" s="117" t="s">
        <v>38</v>
      </c>
      <c r="H42" s="118"/>
      <c r="I42" s="119">
        <f>I40-I41</f>
        <v>0</v>
      </c>
      <c r="J42" s="102"/>
      <c r="Z42"/>
    </row>
    <row r="43" spans="1:26" ht="12.75">
      <c r="A43" s="95"/>
      <c r="B43" s="124"/>
      <c r="C43" s="112"/>
      <c r="D43" s="301"/>
      <c r="E43" s="302"/>
      <c r="F43" s="60"/>
      <c r="G43" s="124"/>
      <c r="H43" s="112"/>
      <c r="I43" s="125"/>
      <c r="J43" s="102"/>
      <c r="Z43"/>
    </row>
    <row r="44" spans="1:26" ht="12.75">
      <c r="A44" s="95"/>
      <c r="B44" s="124"/>
      <c r="C44" s="112"/>
      <c r="D44" s="301"/>
      <c r="E44" s="302"/>
      <c r="F44" s="60"/>
      <c r="G44" s="124"/>
      <c r="H44" s="112"/>
      <c r="I44" s="125"/>
      <c r="J44" s="102"/>
      <c r="Z44"/>
    </row>
    <row r="45" spans="1:26" ht="13.5" thickBot="1">
      <c r="A45" s="95"/>
      <c r="B45" s="60"/>
      <c r="C45" s="60"/>
      <c r="D45" s="60"/>
      <c r="E45" s="60"/>
      <c r="F45" s="60"/>
      <c r="G45" s="60"/>
      <c r="H45" s="60"/>
      <c r="I45" s="60"/>
      <c r="J45" s="102"/>
      <c r="Z45"/>
    </row>
    <row r="46" spans="1:26" ht="12.75">
      <c r="A46" s="95"/>
      <c r="B46" s="96" t="s">
        <v>159</v>
      </c>
      <c r="C46" s="97"/>
      <c r="D46" s="98"/>
      <c r="E46" s="99"/>
      <c r="F46" s="60"/>
      <c r="G46" s="65" t="s">
        <v>43</v>
      </c>
      <c r="H46" s="100"/>
      <c r="I46" s="101"/>
      <c r="J46" s="102"/>
      <c r="Z46"/>
    </row>
    <row r="47" spans="1:26" ht="12.75">
      <c r="A47" s="95"/>
      <c r="B47" s="103" t="s">
        <v>157</v>
      </c>
      <c r="C47" s="104"/>
      <c r="D47" s="105"/>
      <c r="E47" s="106">
        <f>B5</f>
        <v>0</v>
      </c>
      <c r="F47" s="107">
        <f>IF(E48&gt;0,IF(E49&gt;0,E47,0),0)</f>
        <v>0</v>
      </c>
      <c r="G47" s="108" t="s">
        <v>34</v>
      </c>
      <c r="H47" s="109"/>
      <c r="I47" s="110">
        <f>C108</f>
        <v>0</v>
      </c>
      <c r="J47" s="102"/>
      <c r="Z47"/>
    </row>
    <row r="48" spans="1:26" ht="12.75">
      <c r="A48" s="95"/>
      <c r="B48" s="111" t="s">
        <v>35</v>
      </c>
      <c r="C48" s="112"/>
      <c r="D48" s="113"/>
      <c r="E48" s="114">
        <f>C5</f>
        <v>0</v>
      </c>
      <c r="F48" s="60"/>
      <c r="G48" s="115" t="s">
        <v>36</v>
      </c>
      <c r="H48" s="112"/>
      <c r="I48" s="116">
        <f>C150</f>
        <v>0</v>
      </c>
      <c r="J48" s="102"/>
      <c r="Z48"/>
    </row>
    <row r="49" spans="1:26" ht="13.5" thickBot="1">
      <c r="A49" s="95"/>
      <c r="B49" s="120" t="s">
        <v>37</v>
      </c>
      <c r="C49" s="121"/>
      <c r="D49" s="122"/>
      <c r="E49" s="300">
        <f>D5</f>
        <v>0</v>
      </c>
      <c r="F49" s="60"/>
      <c r="G49" s="117" t="s">
        <v>38</v>
      </c>
      <c r="H49" s="118"/>
      <c r="I49" s="119">
        <f>I47-I48</f>
        <v>0</v>
      </c>
      <c r="J49" s="102"/>
      <c r="Z49"/>
    </row>
    <row r="50" spans="1:26" ht="13.5" thickBot="1">
      <c r="A50" s="129"/>
      <c r="B50" s="130"/>
      <c r="C50" s="130"/>
      <c r="D50" s="130"/>
      <c r="E50" s="130"/>
      <c r="F50" s="130"/>
      <c r="G50" s="130"/>
      <c r="H50" s="130"/>
      <c r="I50" s="130"/>
      <c r="J50" s="131"/>
      <c r="Z50"/>
    </row>
    <row r="51" spans="1:26" ht="13.5" thickBot="1">
      <c r="A51" s="61"/>
      <c r="B51" s="61"/>
      <c r="C51" s="61"/>
      <c r="D51" s="61"/>
      <c r="E51" s="61"/>
      <c r="F51" s="61"/>
      <c r="G51" s="61"/>
      <c r="H51" s="61"/>
      <c r="I51" s="61"/>
      <c r="J51" s="61"/>
      <c r="Z51"/>
    </row>
    <row r="52" spans="1:26" ht="13.5" thickBot="1">
      <c r="A52" s="92"/>
      <c r="B52" s="132"/>
      <c r="C52" s="132"/>
      <c r="D52" s="132"/>
      <c r="E52" s="132"/>
      <c r="F52" s="132"/>
      <c r="G52" s="132"/>
      <c r="H52" s="132"/>
      <c r="I52" s="132"/>
      <c r="J52" s="94"/>
      <c r="Z52"/>
    </row>
    <row r="53" spans="1:26" ht="13.5" thickBot="1">
      <c r="A53" s="95"/>
      <c r="B53" s="62"/>
      <c r="C53" s="62"/>
      <c r="D53" s="62"/>
      <c r="E53" s="62"/>
      <c r="F53" s="60"/>
      <c r="G53" s="65" t="s">
        <v>160</v>
      </c>
      <c r="H53" s="100"/>
      <c r="I53" s="101"/>
      <c r="J53" s="102"/>
      <c r="Z53"/>
    </row>
    <row r="54" spans="1:26" ht="12.75">
      <c r="A54" s="95"/>
      <c r="B54" s="65" t="s">
        <v>20</v>
      </c>
      <c r="C54" s="66"/>
      <c r="D54" s="67"/>
      <c r="E54" s="62"/>
      <c r="F54" s="60"/>
      <c r="G54" s="115" t="s">
        <v>45</v>
      </c>
      <c r="H54" s="112"/>
      <c r="I54" s="116">
        <f>D200</f>
        <v>567.84</v>
      </c>
      <c r="J54" s="102"/>
      <c r="Z54"/>
    </row>
    <row r="55" spans="1:26" ht="12.75">
      <c r="A55" s="95"/>
      <c r="B55" s="108" t="s">
        <v>21</v>
      </c>
      <c r="C55" s="109"/>
      <c r="D55" s="133">
        <f>$I$65/$I$57*12</f>
        <v>28.642338905356937</v>
      </c>
      <c r="E55" s="62"/>
      <c r="F55" s="60"/>
      <c r="G55" s="115" t="s">
        <v>46</v>
      </c>
      <c r="H55" s="112"/>
      <c r="I55" s="116">
        <f>D203</f>
        <v>236.6</v>
      </c>
      <c r="J55" s="102"/>
      <c r="Z55"/>
    </row>
    <row r="56" spans="1:26" ht="12.75">
      <c r="A56" s="95"/>
      <c r="B56" s="115" t="s">
        <v>22</v>
      </c>
      <c r="C56" s="112"/>
      <c r="D56" s="134">
        <f>C226</f>
        <v>-459.021443</v>
      </c>
      <c r="E56" s="62"/>
      <c r="F56" s="60"/>
      <c r="G56" s="115" t="s">
        <v>161</v>
      </c>
      <c r="H56" s="112"/>
      <c r="I56" s="135">
        <f>D209</f>
        <v>0.261443</v>
      </c>
      <c r="J56" s="102"/>
      <c r="Z56"/>
    </row>
    <row r="57" spans="1:26" ht="13.5" thickBot="1">
      <c r="A57" s="95"/>
      <c r="B57" s="117" t="s">
        <v>23</v>
      </c>
      <c r="C57" s="118"/>
      <c r="D57" s="136">
        <f>C228</f>
        <v>0.4189601987341772</v>
      </c>
      <c r="E57" s="62"/>
      <c r="F57" s="60"/>
      <c r="G57" s="115" t="s">
        <v>48</v>
      </c>
      <c r="H57" s="112"/>
      <c r="I57" s="116">
        <f>D212</f>
        <v>330.978557</v>
      </c>
      <c r="J57" s="102"/>
      <c r="Z57"/>
    </row>
    <row r="58" spans="1:26" ht="13.5" thickBot="1">
      <c r="A58" s="95"/>
      <c r="B58" s="62"/>
      <c r="C58" s="62"/>
      <c r="D58" s="62"/>
      <c r="E58" s="62"/>
      <c r="F58" s="60"/>
      <c r="G58" s="117" t="s">
        <v>162</v>
      </c>
      <c r="H58" s="137"/>
      <c r="I58" s="303">
        <f>D218</f>
        <v>33.097855700000004</v>
      </c>
      <c r="J58" s="102"/>
      <c r="Z58"/>
    </row>
    <row r="59" spans="1:26" ht="13.5" thickBot="1">
      <c r="A59" s="95"/>
      <c r="B59" s="65" t="s">
        <v>50</v>
      </c>
      <c r="C59" s="66"/>
      <c r="D59" s="67"/>
      <c r="E59" s="62"/>
      <c r="F59" s="60"/>
      <c r="G59" s="62"/>
      <c r="H59" s="62"/>
      <c r="I59" s="62"/>
      <c r="J59" s="102"/>
      <c r="Z59"/>
    </row>
    <row r="60" spans="1:26" ht="12.75">
      <c r="A60" s="95"/>
      <c r="B60" s="115" t="s">
        <v>52</v>
      </c>
      <c r="C60" s="112"/>
      <c r="D60" s="134">
        <f>C233</f>
        <v>-128.04288599999995</v>
      </c>
      <c r="E60" s="62"/>
      <c r="F60" s="60"/>
      <c r="G60" s="139"/>
      <c r="H60" s="140" t="s">
        <v>53</v>
      </c>
      <c r="I60" s="141"/>
      <c r="J60" s="102"/>
      <c r="Z60"/>
    </row>
    <row r="61" spans="1:26" ht="13.5" thickBot="1">
      <c r="A61" s="95"/>
      <c r="B61" s="117" t="s">
        <v>23</v>
      </c>
      <c r="C61" s="118"/>
      <c r="D61" s="136">
        <f>C235</f>
        <v>0.8379203974683544</v>
      </c>
      <c r="E61" s="62"/>
      <c r="F61" s="62"/>
      <c r="G61" s="71" t="s">
        <v>157</v>
      </c>
      <c r="H61" s="142"/>
      <c r="I61" s="143">
        <f>F47+F40+F33</f>
        <v>10</v>
      </c>
      <c r="J61" s="102"/>
      <c r="Z61"/>
    </row>
    <row r="62" spans="1:26" ht="13.5" thickBot="1">
      <c r="A62" s="95"/>
      <c r="B62" s="62"/>
      <c r="C62" s="62"/>
      <c r="D62" s="62"/>
      <c r="E62" s="62"/>
      <c r="F62" s="62"/>
      <c r="G62" s="144" t="s">
        <v>163</v>
      </c>
      <c r="H62" s="62"/>
      <c r="I62" s="145" t="e">
        <f>#REF!</f>
        <v>#REF!</v>
      </c>
      <c r="J62" s="102"/>
      <c r="Z62"/>
    </row>
    <row r="63" spans="1:26" ht="12.75">
      <c r="A63" s="95"/>
      <c r="B63" s="65" t="s">
        <v>55</v>
      </c>
      <c r="C63" s="66"/>
      <c r="D63" s="67"/>
      <c r="E63" s="62"/>
      <c r="F63" s="62"/>
      <c r="G63" s="144" t="s">
        <v>18</v>
      </c>
      <c r="H63" s="62"/>
      <c r="I63" s="147" t="e">
        <f>#REF!</f>
        <v>#REF!</v>
      </c>
      <c r="J63" s="102"/>
      <c r="Z63"/>
    </row>
    <row r="64" spans="1:26" ht="12.75">
      <c r="A64" s="95"/>
      <c r="B64" s="115" t="s">
        <v>57</v>
      </c>
      <c r="C64" s="112"/>
      <c r="D64" s="146">
        <f>C240</f>
        <v>202.93567100000007</v>
      </c>
      <c r="E64" s="62"/>
      <c r="F64" s="62"/>
      <c r="G64" s="144" t="s">
        <v>164</v>
      </c>
      <c r="H64" s="148"/>
      <c r="I64" s="149">
        <f>D14</f>
        <v>79</v>
      </c>
      <c r="J64" s="102"/>
      <c r="Z64"/>
    </row>
    <row r="65" spans="1:26" ht="13.5" thickBot="1">
      <c r="A65" s="95"/>
      <c r="B65" s="117" t="s">
        <v>23</v>
      </c>
      <c r="C65" s="118"/>
      <c r="D65" s="136">
        <f>C242</f>
        <v>1.2568805962025318</v>
      </c>
      <c r="E65" s="62"/>
      <c r="F65" s="60"/>
      <c r="G65" s="71" t="s">
        <v>59</v>
      </c>
      <c r="H65" s="148"/>
      <c r="I65" s="151">
        <f>I64*I61</f>
        <v>790</v>
      </c>
      <c r="J65" s="102"/>
      <c r="Z65"/>
    </row>
    <row r="66" spans="1:26" ht="13.5" thickBot="1">
      <c r="A66" s="95"/>
      <c r="B66" s="124"/>
      <c r="C66" s="112"/>
      <c r="D66" s="150"/>
      <c r="E66" s="62"/>
      <c r="F66" s="60"/>
      <c r="G66" s="85" t="s">
        <v>60</v>
      </c>
      <c r="H66" s="86"/>
      <c r="I66" s="152">
        <f>I56/I61</f>
        <v>0.0261443</v>
      </c>
      <c r="J66" s="102"/>
      <c r="Z66"/>
    </row>
    <row r="67" spans="1:26" ht="13.5" thickBot="1">
      <c r="A67" s="129"/>
      <c r="B67" s="130"/>
      <c r="C67" s="130"/>
      <c r="D67" s="130"/>
      <c r="E67" s="130"/>
      <c r="F67" s="130"/>
      <c r="G67" s="153"/>
      <c r="H67" s="153"/>
      <c r="I67" s="153"/>
      <c r="J67" s="131"/>
      <c r="Z67"/>
    </row>
    <row r="68" spans="1:26" ht="19.5">
      <c r="A68" s="154" t="s">
        <v>165</v>
      </c>
      <c r="B68" s="155"/>
      <c r="C68" s="156"/>
      <c r="D68" s="157"/>
      <c r="E68" s="158"/>
      <c r="Z68"/>
    </row>
    <row r="69" spans="16:26" ht="13.5" thickBot="1">
      <c r="P69" s="2"/>
      <c r="Z69"/>
    </row>
    <row r="70" spans="1:26" ht="12.75">
      <c r="A70" s="159" t="s">
        <v>166</v>
      </c>
      <c r="B70" s="160"/>
      <c r="C70" s="160"/>
      <c r="D70" s="161"/>
      <c r="H70" s="159" t="s">
        <v>167</v>
      </c>
      <c r="I70" s="162"/>
      <c r="J70" s="162"/>
      <c r="K70" s="163"/>
      <c r="P70" s="2"/>
      <c r="Z70"/>
    </row>
    <row r="71" spans="1:26" ht="12.75">
      <c r="A71" s="164" t="s">
        <v>64</v>
      </c>
      <c r="B71" s="27"/>
      <c r="C71" s="165">
        <v>120</v>
      </c>
      <c r="D71" s="166" t="s">
        <v>65</v>
      </c>
      <c r="H71" s="167" t="s">
        <v>66</v>
      </c>
      <c r="J71" s="168">
        <f>$C$73</f>
        <v>100</v>
      </c>
      <c r="K71" s="169" t="s">
        <v>67</v>
      </c>
      <c r="P71" s="2"/>
      <c r="Z71"/>
    </row>
    <row r="72" spans="1:26" ht="12.75">
      <c r="A72" s="164" t="s">
        <v>68</v>
      </c>
      <c r="B72" s="27"/>
      <c r="C72" s="170">
        <f>I29</f>
        <v>0.8333333333333334</v>
      </c>
      <c r="D72" s="166" t="s">
        <v>69</v>
      </c>
      <c r="F72" s="171"/>
      <c r="H72" s="172" t="s">
        <v>70</v>
      </c>
      <c r="J72" s="170">
        <f>I26</f>
        <v>2</v>
      </c>
      <c r="K72" s="169"/>
      <c r="P72" s="2"/>
      <c r="Z72"/>
    </row>
    <row r="73" spans="1:26" ht="13.5" thickBot="1">
      <c r="A73" s="173" t="s">
        <v>71</v>
      </c>
      <c r="B73" s="174"/>
      <c r="C73" s="175">
        <f>1*C71*C72</f>
        <v>100</v>
      </c>
      <c r="D73" s="176" t="s">
        <v>67</v>
      </c>
      <c r="H73" s="173" t="s">
        <v>72</v>
      </c>
      <c r="I73" s="174"/>
      <c r="J73" s="175">
        <f>J71/J72</f>
        <v>50</v>
      </c>
      <c r="K73" s="177" t="s">
        <v>67</v>
      </c>
      <c r="P73" s="2"/>
      <c r="Z73"/>
    </row>
    <row r="74" spans="1:26" ht="13.5" thickBot="1">
      <c r="A74" s="27"/>
      <c r="B74" s="27"/>
      <c r="C74" s="27"/>
      <c r="D74" s="27"/>
      <c r="P74" s="2"/>
      <c r="Z74"/>
    </row>
    <row r="75" spans="1:26" ht="13.5" thickBot="1">
      <c r="A75" s="178" t="s">
        <v>32</v>
      </c>
      <c r="B75" s="179"/>
      <c r="C75" s="180"/>
      <c r="D75" s="162"/>
      <c r="E75" s="162"/>
      <c r="F75" s="162"/>
      <c r="G75" s="162"/>
      <c r="H75" s="162"/>
      <c r="I75" s="162"/>
      <c r="J75" s="162"/>
      <c r="K75" s="163"/>
      <c r="P75" s="2"/>
      <c r="Z75"/>
    </row>
    <row r="76" spans="1:26" ht="12.75">
      <c r="A76" s="181" t="s">
        <v>168</v>
      </c>
      <c r="B76" s="182"/>
      <c r="C76" s="182"/>
      <c r="D76" s="182"/>
      <c r="E76" s="182"/>
      <c r="F76" s="183"/>
      <c r="G76" s="184" t="s">
        <v>74</v>
      </c>
      <c r="H76" s="182"/>
      <c r="I76" s="182"/>
      <c r="J76" s="182"/>
      <c r="K76" s="185"/>
      <c r="L76" s="186"/>
      <c r="M76" s="187"/>
      <c r="P76" s="2"/>
      <c r="Z76"/>
    </row>
    <row r="77" spans="1:16" ht="12.75">
      <c r="A77" s="188" t="s">
        <v>75</v>
      </c>
      <c r="B77" s="189"/>
      <c r="C77" s="190">
        <f>E34*52</f>
        <v>8736</v>
      </c>
      <c r="D77" s="189" t="s">
        <v>76</v>
      </c>
      <c r="E77" s="191"/>
      <c r="F77" s="192"/>
      <c r="G77" s="193" t="s">
        <v>77</v>
      </c>
      <c r="H77" s="194">
        <f>IF(E34&lt;$I$28,$I$27*E34,$I$27*$I$28)</f>
        <v>0</v>
      </c>
      <c r="I77" s="195" t="s">
        <v>76</v>
      </c>
      <c r="K77" s="196"/>
      <c r="L77" s="187"/>
      <c r="M77" s="187"/>
      <c r="P77" s="2"/>
    </row>
    <row r="78" spans="1:16" ht="12.75">
      <c r="A78" s="181" t="s">
        <v>169</v>
      </c>
      <c r="B78" s="182"/>
      <c r="C78" s="197"/>
      <c r="D78" s="182"/>
      <c r="E78" s="182"/>
      <c r="F78" s="183"/>
      <c r="G78" s="184" t="s">
        <v>170</v>
      </c>
      <c r="H78" s="182"/>
      <c r="I78" s="182"/>
      <c r="J78" s="182"/>
      <c r="K78" s="185"/>
      <c r="L78" s="186"/>
      <c r="M78" s="187"/>
      <c r="P78" s="2"/>
    </row>
    <row r="79" spans="1:16" ht="12.75">
      <c r="A79" s="188" t="s">
        <v>80</v>
      </c>
      <c r="B79" s="191"/>
      <c r="C79" s="190">
        <f>$C$73*C77/1000</f>
        <v>873.6</v>
      </c>
      <c r="D79" s="189" t="s">
        <v>81</v>
      </c>
      <c r="E79" s="191"/>
      <c r="F79" s="192"/>
      <c r="G79" s="193" t="s">
        <v>82</v>
      </c>
      <c r="H79" s="190">
        <f>$J$73*H77/1000</f>
        <v>0</v>
      </c>
      <c r="I79" s="189" t="s">
        <v>81</v>
      </c>
      <c r="J79" s="198"/>
      <c r="K79" s="199"/>
      <c r="L79" s="187"/>
      <c r="M79" s="187"/>
      <c r="P79" s="2"/>
    </row>
    <row r="80" spans="1:16" ht="12.75">
      <c r="A80" s="200"/>
      <c r="B80" s="201"/>
      <c r="C80" s="202"/>
      <c r="D80" s="203"/>
      <c r="E80" s="201"/>
      <c r="F80" s="201"/>
      <c r="G80" s="171"/>
      <c r="H80" s="204"/>
      <c r="I80" s="204"/>
      <c r="J80" s="205"/>
      <c r="K80" s="206"/>
      <c r="L80" s="187"/>
      <c r="M80" s="187"/>
      <c r="P80" s="2"/>
    </row>
    <row r="81" spans="1:16" ht="12.75">
      <c r="A81" s="181" t="s">
        <v>171</v>
      </c>
      <c r="B81" s="207"/>
      <c r="C81" s="208"/>
      <c r="D81" s="182"/>
      <c r="E81" s="182"/>
      <c r="F81" s="183"/>
      <c r="G81" s="209"/>
      <c r="H81" s="209"/>
      <c r="I81" s="209"/>
      <c r="J81" s="209"/>
      <c r="K81" s="210"/>
      <c r="L81" s="187"/>
      <c r="M81" s="187"/>
      <c r="P81" s="2"/>
    </row>
    <row r="82" spans="1:16" ht="12.75">
      <c r="A82" s="188" t="s">
        <v>84</v>
      </c>
      <c r="B82" s="191"/>
      <c r="C82" s="190">
        <f>(C79+H79)*F33</f>
        <v>8736</v>
      </c>
      <c r="D82" s="189" t="s">
        <v>81</v>
      </c>
      <c r="E82" s="191"/>
      <c r="F82" s="192"/>
      <c r="G82" s="204"/>
      <c r="H82" s="204"/>
      <c r="I82" s="204"/>
      <c r="J82" s="204"/>
      <c r="K82" s="211"/>
      <c r="L82" s="187"/>
      <c r="M82" s="187"/>
      <c r="P82" s="2"/>
    </row>
    <row r="83" spans="1:16" ht="12.75">
      <c r="A83" s="181" t="s">
        <v>85</v>
      </c>
      <c r="B83" s="182"/>
      <c r="C83" s="182"/>
      <c r="D83" s="182"/>
      <c r="E83" s="182"/>
      <c r="F83" s="183"/>
      <c r="G83" s="212"/>
      <c r="H83" s="212" t="s">
        <v>86</v>
      </c>
      <c r="I83" s="204"/>
      <c r="J83" s="213"/>
      <c r="K83" s="211"/>
      <c r="L83" s="187"/>
      <c r="M83" s="187"/>
      <c r="P83" s="2"/>
    </row>
    <row r="84" spans="1:16" ht="12.75">
      <c r="A84" s="188" t="s">
        <v>87</v>
      </c>
      <c r="B84" s="191"/>
      <c r="C84" s="214">
        <f>C82*$I$25</f>
        <v>567.84</v>
      </c>
      <c r="D84" s="198"/>
      <c r="E84" s="191"/>
      <c r="F84" s="192"/>
      <c r="G84" s="171"/>
      <c r="H84" s="204"/>
      <c r="I84" s="204"/>
      <c r="J84" s="213"/>
      <c r="K84" s="211"/>
      <c r="L84" s="187"/>
      <c r="M84" s="187"/>
      <c r="P84" s="2"/>
    </row>
    <row r="85" spans="1:16" ht="16.5" thickBot="1">
      <c r="A85" s="215"/>
      <c r="B85" s="216"/>
      <c r="C85" s="217"/>
      <c r="D85" s="218"/>
      <c r="E85" s="216"/>
      <c r="F85" s="216"/>
      <c r="G85" s="218"/>
      <c r="H85" s="216"/>
      <c r="I85" s="216"/>
      <c r="J85" s="219"/>
      <c r="K85" s="220"/>
      <c r="P85" s="2"/>
    </row>
    <row r="86" spans="1:16" ht="13.5" thickBot="1">
      <c r="A86" s="171"/>
      <c r="B86" s="2"/>
      <c r="C86" s="205"/>
      <c r="D86" s="171"/>
      <c r="E86" s="2"/>
      <c r="F86" s="2"/>
      <c r="G86" s="171"/>
      <c r="H86" s="2"/>
      <c r="I86" s="2"/>
      <c r="J86" s="213"/>
      <c r="K86" s="2"/>
      <c r="P86" s="2"/>
    </row>
    <row r="87" spans="1:16" ht="13.5" thickBot="1">
      <c r="A87" s="178" t="s">
        <v>41</v>
      </c>
      <c r="B87" s="179"/>
      <c r="C87" s="180"/>
      <c r="D87" s="160"/>
      <c r="E87" s="162"/>
      <c r="F87" s="162"/>
      <c r="G87" s="160"/>
      <c r="H87" s="162"/>
      <c r="I87" s="162"/>
      <c r="J87" s="221"/>
      <c r="K87" s="163"/>
      <c r="P87" s="2"/>
    </row>
    <row r="88" spans="1:16" ht="12.75">
      <c r="A88" s="181" t="s">
        <v>168</v>
      </c>
      <c r="B88" s="222"/>
      <c r="C88" s="223"/>
      <c r="D88" s="222"/>
      <c r="E88" s="222"/>
      <c r="F88" s="224"/>
      <c r="G88" s="184" t="s">
        <v>74</v>
      </c>
      <c r="H88" s="222"/>
      <c r="I88" s="222"/>
      <c r="J88" s="222"/>
      <c r="K88" s="225"/>
      <c r="P88" s="2"/>
    </row>
    <row r="89" spans="1:16" ht="12.75">
      <c r="A89" s="188" t="str">
        <f>A77</f>
        <v>Primary POH/Yr</v>
      </c>
      <c r="B89" s="189"/>
      <c r="C89" s="190">
        <f>E41*52</f>
        <v>0</v>
      </c>
      <c r="D89" s="189" t="s">
        <v>76</v>
      </c>
      <c r="E89" s="226"/>
      <c r="F89" s="227"/>
      <c r="G89" s="193" t="str">
        <f>G77</f>
        <v>A/C POH/Yr</v>
      </c>
      <c r="H89" s="194">
        <f>IF(E41&lt;$I$28,$I$27*E41,$I$27*$I$28)</f>
        <v>0</v>
      </c>
      <c r="I89" s="195" t="s">
        <v>76</v>
      </c>
      <c r="J89" s="198"/>
      <c r="K89" s="199"/>
      <c r="P89" s="2"/>
    </row>
    <row r="90" spans="1:16" ht="12.75">
      <c r="A90" s="181" t="s">
        <v>169</v>
      </c>
      <c r="B90" s="222"/>
      <c r="C90" s="223"/>
      <c r="D90" s="222"/>
      <c r="E90" s="222"/>
      <c r="F90" s="224"/>
      <c r="G90" s="184" t="s">
        <v>170</v>
      </c>
      <c r="H90" s="222"/>
      <c r="I90" s="222"/>
      <c r="J90" s="222"/>
      <c r="K90" s="225"/>
      <c r="P90" s="2"/>
    </row>
    <row r="91" spans="1:16" ht="12.75">
      <c r="A91" s="188" t="str">
        <f>A79</f>
        <v>Primary Energy/Yr</v>
      </c>
      <c r="B91" s="226"/>
      <c r="C91" s="190">
        <f>$C$73*C89/1000</f>
        <v>0</v>
      </c>
      <c r="D91" s="189" t="s">
        <v>81</v>
      </c>
      <c r="E91" s="226"/>
      <c r="F91" s="227"/>
      <c r="G91" s="193" t="str">
        <f>G79</f>
        <v>A/C Energy/Yr</v>
      </c>
      <c r="H91" s="190">
        <f>$J$73*H89/1000</f>
        <v>0</v>
      </c>
      <c r="I91" s="189" t="s">
        <v>81</v>
      </c>
      <c r="J91" s="198"/>
      <c r="K91" s="199"/>
      <c r="P91" s="2"/>
    </row>
    <row r="92" spans="1:16" ht="12.75">
      <c r="A92" s="200"/>
      <c r="B92" s="228"/>
      <c r="C92" s="202"/>
      <c r="D92" s="203"/>
      <c r="E92" s="228"/>
      <c r="F92" s="228"/>
      <c r="G92" s="203"/>
      <c r="H92" s="228"/>
      <c r="I92" s="228"/>
      <c r="J92" s="202"/>
      <c r="K92" s="229"/>
      <c r="P92" s="2"/>
    </row>
    <row r="93" spans="1:16" ht="12.75">
      <c r="A93" s="181" t="s">
        <v>171</v>
      </c>
      <c r="B93" s="207"/>
      <c r="C93" s="208"/>
      <c r="D93" s="222"/>
      <c r="E93" s="222"/>
      <c r="F93" s="224"/>
      <c r="G93" s="228"/>
      <c r="H93" s="228"/>
      <c r="I93" s="228"/>
      <c r="J93" s="228"/>
      <c r="K93" s="230"/>
      <c r="P93" s="2"/>
    </row>
    <row r="94" spans="1:16" ht="12.75">
      <c r="A94" s="188" t="s">
        <v>84</v>
      </c>
      <c r="B94" s="226"/>
      <c r="C94" s="190">
        <f>(C91+H91)*F40</f>
        <v>0</v>
      </c>
      <c r="D94" s="189" t="s">
        <v>81</v>
      </c>
      <c r="E94" s="226"/>
      <c r="F94" s="227"/>
      <c r="G94" s="228"/>
      <c r="H94" s="228"/>
      <c r="I94" s="228"/>
      <c r="J94" s="228"/>
      <c r="K94" s="230"/>
      <c r="P94" s="2"/>
    </row>
    <row r="95" spans="1:16" ht="12.75">
      <c r="A95" s="181" t="s">
        <v>85</v>
      </c>
      <c r="B95" s="222"/>
      <c r="C95" s="222"/>
      <c r="D95" s="222"/>
      <c r="E95" s="222"/>
      <c r="F95" s="224"/>
      <c r="G95" s="203"/>
      <c r="H95" s="212" t="s">
        <v>88</v>
      </c>
      <c r="I95" s="228"/>
      <c r="J95" s="231"/>
      <c r="K95" s="230"/>
      <c r="P95" s="2"/>
    </row>
    <row r="96" spans="1:16" ht="12.75" customHeight="1">
      <c r="A96" s="188" t="s">
        <v>87</v>
      </c>
      <c r="B96" s="226"/>
      <c r="C96" s="214">
        <f>C94*$I$25</f>
        <v>0</v>
      </c>
      <c r="D96" s="198"/>
      <c r="E96" s="226"/>
      <c r="F96" s="227"/>
      <c r="G96" s="203"/>
      <c r="H96" s="228"/>
      <c r="I96" s="228"/>
      <c r="J96" s="231"/>
      <c r="K96" s="230"/>
      <c r="P96" s="2"/>
    </row>
    <row r="97" spans="1:16" ht="13.5" thickBot="1">
      <c r="A97" s="232"/>
      <c r="B97" s="233"/>
      <c r="C97" s="234"/>
      <c r="D97" s="235"/>
      <c r="E97" s="233"/>
      <c r="F97" s="233"/>
      <c r="G97" s="235"/>
      <c r="H97" s="233"/>
      <c r="I97" s="233"/>
      <c r="J97" s="236"/>
      <c r="K97" s="237"/>
      <c r="P97" s="2"/>
    </row>
    <row r="98" spans="1:16" ht="13.5" thickBot="1">
      <c r="A98" s="171"/>
      <c r="B98" s="2"/>
      <c r="C98" s="205"/>
      <c r="D98" s="171"/>
      <c r="E98" s="2"/>
      <c r="F98" s="2"/>
      <c r="G98" s="171"/>
      <c r="H98" s="2"/>
      <c r="I98" s="2"/>
      <c r="J98" s="213"/>
      <c r="K98" s="2"/>
      <c r="P98" s="2"/>
    </row>
    <row r="99" spans="1:16" ht="13.5" thickBot="1">
      <c r="A99" s="178" t="s">
        <v>43</v>
      </c>
      <c r="B99" s="179"/>
      <c r="C99" s="238"/>
      <c r="D99" s="162"/>
      <c r="E99" s="162"/>
      <c r="F99" s="162"/>
      <c r="G99" s="162"/>
      <c r="H99" s="162"/>
      <c r="I99" s="162"/>
      <c r="J99" s="162"/>
      <c r="K99" s="163"/>
      <c r="P99" s="2"/>
    </row>
    <row r="100" spans="1:16" ht="12.75">
      <c r="A100" s="181" t="s">
        <v>168</v>
      </c>
      <c r="B100" s="222"/>
      <c r="C100" s="223"/>
      <c r="D100" s="222"/>
      <c r="E100" s="222"/>
      <c r="F100" s="224"/>
      <c r="G100" s="184" t="s">
        <v>74</v>
      </c>
      <c r="H100" s="222"/>
      <c r="I100" s="222"/>
      <c r="J100" s="222"/>
      <c r="K100" s="225"/>
      <c r="P100" s="2"/>
    </row>
    <row r="101" spans="1:16" ht="12.75">
      <c r="A101" s="188" t="str">
        <f>A77</f>
        <v>Primary POH/Yr</v>
      </c>
      <c r="B101" s="189"/>
      <c r="C101" s="190">
        <f>E48*52</f>
        <v>0</v>
      </c>
      <c r="D101" s="189" t="s">
        <v>76</v>
      </c>
      <c r="E101" s="226"/>
      <c r="F101" s="227"/>
      <c r="G101" s="193" t="str">
        <f>G77</f>
        <v>A/C POH/Yr</v>
      </c>
      <c r="H101" s="194">
        <f>IF(E48&lt;$I$28,$I$27*E48,$I$27*$I$28)</f>
        <v>0</v>
      </c>
      <c r="I101" s="195" t="s">
        <v>76</v>
      </c>
      <c r="J101" s="198"/>
      <c r="K101" s="199"/>
      <c r="P101" s="2"/>
    </row>
    <row r="102" spans="1:16" ht="12.75">
      <c r="A102" s="181" t="s">
        <v>169</v>
      </c>
      <c r="B102" s="222"/>
      <c r="C102" s="223"/>
      <c r="D102" s="222"/>
      <c r="E102" s="222"/>
      <c r="F102" s="224"/>
      <c r="G102" s="184" t="s">
        <v>170</v>
      </c>
      <c r="H102" s="222"/>
      <c r="I102" s="222"/>
      <c r="J102" s="222"/>
      <c r="K102" s="225"/>
      <c r="P102" s="2"/>
    </row>
    <row r="103" spans="1:16" ht="12.75">
      <c r="A103" s="188" t="str">
        <f>A79</f>
        <v>Primary Energy/Yr</v>
      </c>
      <c r="B103" s="226"/>
      <c r="C103" s="190">
        <f>$C$73*C101/1000</f>
        <v>0</v>
      </c>
      <c r="D103" s="189" t="s">
        <v>81</v>
      </c>
      <c r="E103" s="226"/>
      <c r="F103" s="227"/>
      <c r="G103" s="193" t="str">
        <f>G79</f>
        <v>A/C Energy/Yr</v>
      </c>
      <c r="H103" s="190">
        <f>$J$73*H101/1000</f>
        <v>0</v>
      </c>
      <c r="I103" s="189" t="s">
        <v>81</v>
      </c>
      <c r="J103" s="198"/>
      <c r="K103" s="199"/>
      <c r="P103" s="2"/>
    </row>
    <row r="104" spans="1:16" ht="12.75">
      <c r="A104" s="239"/>
      <c r="B104" s="2"/>
      <c r="C104" s="2"/>
      <c r="D104" s="2"/>
      <c r="E104" s="2"/>
      <c r="F104" s="2"/>
      <c r="G104" s="2"/>
      <c r="H104" s="2"/>
      <c r="I104" s="2"/>
      <c r="J104" s="2"/>
      <c r="K104" s="196"/>
      <c r="P104" s="2"/>
    </row>
    <row r="105" spans="1:16" ht="12.75">
      <c r="A105" s="181" t="s">
        <v>171</v>
      </c>
      <c r="B105" s="207"/>
      <c r="C105" s="208"/>
      <c r="D105" s="222"/>
      <c r="E105" s="222"/>
      <c r="F105" s="224"/>
      <c r="G105" s="2"/>
      <c r="H105" s="2"/>
      <c r="I105" s="2"/>
      <c r="J105" s="2"/>
      <c r="K105" s="196"/>
      <c r="P105" s="2"/>
    </row>
    <row r="106" spans="1:16" ht="12.75">
      <c r="A106" s="188" t="s">
        <v>84</v>
      </c>
      <c r="B106" s="226"/>
      <c r="C106" s="190">
        <f>(C103+H103)*F47</f>
        <v>0</v>
      </c>
      <c r="D106" s="189" t="s">
        <v>81</v>
      </c>
      <c r="E106" s="226"/>
      <c r="F106" s="227"/>
      <c r="G106" s="203"/>
      <c r="H106" s="228"/>
      <c r="I106" s="228"/>
      <c r="J106" s="231"/>
      <c r="K106" s="230"/>
      <c r="P106" s="2"/>
    </row>
    <row r="107" spans="1:16" ht="12.75">
      <c r="A107" s="181" t="s">
        <v>85</v>
      </c>
      <c r="B107" s="222"/>
      <c r="C107" s="222"/>
      <c r="D107" s="222"/>
      <c r="E107" s="222"/>
      <c r="F107" s="224"/>
      <c r="G107" s="203"/>
      <c r="H107" s="212" t="s">
        <v>89</v>
      </c>
      <c r="I107" s="228"/>
      <c r="J107" s="231"/>
      <c r="K107" s="230"/>
      <c r="P107" s="2"/>
    </row>
    <row r="108" spans="1:16" ht="12.75">
      <c r="A108" s="188" t="s">
        <v>87</v>
      </c>
      <c r="B108" s="226"/>
      <c r="C108" s="214">
        <f>C106*$I$25</f>
        <v>0</v>
      </c>
      <c r="D108" s="198"/>
      <c r="E108" s="226"/>
      <c r="F108" s="227"/>
      <c r="G108" s="203"/>
      <c r="H108" s="228"/>
      <c r="I108" s="228"/>
      <c r="J108" s="231"/>
      <c r="K108" s="230"/>
      <c r="P108" s="2"/>
    </row>
    <row r="109" spans="1:16" ht="13.5" thickBot="1">
      <c r="A109" s="232"/>
      <c r="B109" s="233"/>
      <c r="C109" s="234"/>
      <c r="D109" s="235"/>
      <c r="E109" s="233"/>
      <c r="F109" s="233"/>
      <c r="G109" s="235"/>
      <c r="H109" s="233"/>
      <c r="I109" s="233"/>
      <c r="J109" s="236"/>
      <c r="K109" s="237"/>
      <c r="P109" s="2"/>
    </row>
    <row r="110" spans="1:16" ht="19.5">
      <c r="A110" s="154" t="s">
        <v>172</v>
      </c>
      <c r="B110" s="240"/>
      <c r="C110" s="241"/>
      <c r="D110" s="240"/>
      <c r="E110" s="240"/>
      <c r="P110" s="2"/>
    </row>
    <row r="111" spans="1:16" ht="12" customHeight="1" thickBot="1">
      <c r="A111" s="154"/>
      <c r="B111" s="240"/>
      <c r="C111" s="241"/>
      <c r="D111" s="240"/>
      <c r="E111" s="240"/>
      <c r="P111" s="2"/>
    </row>
    <row r="112" spans="1:16" ht="12" customHeight="1">
      <c r="A112" s="159" t="s">
        <v>166</v>
      </c>
      <c r="B112" s="160"/>
      <c r="C112" s="160"/>
      <c r="D112" s="161"/>
      <c r="H112" s="159" t="s">
        <v>167</v>
      </c>
      <c r="I112" s="162"/>
      <c r="J112" s="162"/>
      <c r="K112" s="163"/>
      <c r="P112" s="2"/>
    </row>
    <row r="113" spans="1:16" ht="12" customHeight="1">
      <c r="A113" s="164" t="s">
        <v>64</v>
      </c>
      <c r="B113" s="27"/>
      <c r="C113" s="165">
        <f>C71</f>
        <v>120</v>
      </c>
      <c r="D113" s="166" t="s">
        <v>65</v>
      </c>
      <c r="H113" s="167" t="s">
        <v>66</v>
      </c>
      <c r="J113" s="168">
        <f>$C$73</f>
        <v>100</v>
      </c>
      <c r="K113" s="169" t="s">
        <v>67</v>
      </c>
      <c r="P113" s="2"/>
    </row>
    <row r="114" spans="1:16" ht="12" customHeight="1">
      <c r="A114" s="164" t="s">
        <v>68</v>
      </c>
      <c r="B114" s="27"/>
      <c r="C114" s="170">
        <f>C72</f>
        <v>0.8333333333333334</v>
      </c>
      <c r="D114" s="166" t="s">
        <v>69</v>
      </c>
      <c r="F114" s="171"/>
      <c r="H114" s="172" t="s">
        <v>70</v>
      </c>
      <c r="J114" s="170">
        <f>J72</f>
        <v>2</v>
      </c>
      <c r="K114" s="169"/>
      <c r="P114" s="2"/>
    </row>
    <row r="115" spans="1:16" ht="12" customHeight="1" thickBot="1">
      <c r="A115" s="173" t="s">
        <v>71</v>
      </c>
      <c r="B115" s="174"/>
      <c r="C115" s="175">
        <f>1*C113*C114</f>
        <v>100</v>
      </c>
      <c r="D115" s="176" t="s">
        <v>67</v>
      </c>
      <c r="H115" s="173" t="s">
        <v>72</v>
      </c>
      <c r="I115" s="174"/>
      <c r="J115" s="175">
        <f>J113/J114</f>
        <v>50</v>
      </c>
      <c r="K115" s="177" t="s">
        <v>67</v>
      </c>
      <c r="P115" s="2"/>
    </row>
    <row r="116" spans="1:16" ht="12" customHeight="1" thickBot="1">
      <c r="A116" s="242"/>
      <c r="B116" s="46"/>
      <c r="C116" s="243"/>
      <c r="D116" s="244"/>
      <c r="H116" s="242"/>
      <c r="I116" s="46"/>
      <c r="J116" s="243"/>
      <c r="K116" s="245"/>
      <c r="P116" s="2"/>
    </row>
    <row r="117" spans="1:16" ht="13.5" thickBot="1">
      <c r="A117" s="178" t="str">
        <f>A75</f>
        <v>Yearly Energy Analysis - Category I</v>
      </c>
      <c r="B117" s="179"/>
      <c r="C117" s="180"/>
      <c r="D117" s="162"/>
      <c r="E117" s="162"/>
      <c r="F117" s="162"/>
      <c r="G117" s="162"/>
      <c r="H117" s="162"/>
      <c r="I117" s="162"/>
      <c r="J117" s="162"/>
      <c r="K117" s="163"/>
      <c r="P117" s="2"/>
    </row>
    <row r="118" spans="1:16" ht="12.75">
      <c r="A118" s="181" t="s">
        <v>173</v>
      </c>
      <c r="B118" s="222"/>
      <c r="C118" s="223"/>
      <c r="D118" s="222"/>
      <c r="E118" s="222"/>
      <c r="F118" s="224"/>
      <c r="G118" s="184" t="s">
        <v>92</v>
      </c>
      <c r="H118" s="222"/>
      <c r="I118" s="222"/>
      <c r="J118" s="222"/>
      <c r="K118" s="225"/>
      <c r="P118" s="2"/>
    </row>
    <row r="119" spans="1:16" ht="12.75">
      <c r="A119" s="188" t="str">
        <f>A77</f>
        <v>Primary POH/Yr</v>
      </c>
      <c r="B119" s="189"/>
      <c r="C119" s="190">
        <f>IF(E34&gt;E35,E35*52,E34*52)</f>
        <v>3640</v>
      </c>
      <c r="D119" s="189" t="s">
        <v>76</v>
      </c>
      <c r="E119" s="226"/>
      <c r="F119" s="227"/>
      <c r="G119" s="246" t="str">
        <f>G77</f>
        <v>A/C POH/Yr</v>
      </c>
      <c r="H119" s="259">
        <f>IF(E34&gt;E35,IF(E35&lt;$I$28,E35*$I$27,$I$28*$I$27),IF(E34&lt;$I$28,E34*$I$27,$I$28*$I$27))</f>
        <v>0</v>
      </c>
      <c r="I119" s="248" t="s">
        <v>76</v>
      </c>
      <c r="J119" s="2"/>
      <c r="K119" s="196"/>
      <c r="P119" s="2"/>
    </row>
    <row r="120" spans="1:16" ht="12.75">
      <c r="A120" s="181" t="s">
        <v>169</v>
      </c>
      <c r="B120" s="228"/>
      <c r="C120" s="249"/>
      <c r="D120" s="228"/>
      <c r="E120" s="228"/>
      <c r="F120" s="250"/>
      <c r="G120" s="184" t="s">
        <v>174</v>
      </c>
      <c r="H120" s="222"/>
      <c r="I120" s="222"/>
      <c r="J120" s="222"/>
      <c r="K120" s="225"/>
      <c r="P120" s="2"/>
    </row>
    <row r="121" spans="1:16" ht="12.75">
      <c r="A121" s="188" t="str">
        <f>A79</f>
        <v>Primary Energy/Yr</v>
      </c>
      <c r="B121" s="226"/>
      <c r="C121" s="190">
        <f>C119*$C$73/1000</f>
        <v>364</v>
      </c>
      <c r="D121" s="189" t="s">
        <v>81</v>
      </c>
      <c r="E121" s="226"/>
      <c r="F121" s="227"/>
      <c r="G121" s="193" t="str">
        <f>G79</f>
        <v>A/C Energy/Yr</v>
      </c>
      <c r="H121" s="190">
        <f>H119*$J$73/1000</f>
        <v>0</v>
      </c>
      <c r="I121" s="189" t="s">
        <v>81</v>
      </c>
      <c r="J121" s="198"/>
      <c r="K121" s="199"/>
      <c r="P121" s="2"/>
    </row>
    <row r="122" spans="1:16" ht="12.75">
      <c r="A122" s="239"/>
      <c r="B122" s="2"/>
      <c r="C122" s="2"/>
      <c r="D122" s="2"/>
      <c r="E122" s="2"/>
      <c r="F122" s="2"/>
      <c r="G122" s="2"/>
      <c r="H122" s="2"/>
      <c r="I122" s="2"/>
      <c r="J122" s="2"/>
      <c r="K122" s="196"/>
      <c r="P122" s="2"/>
    </row>
    <row r="123" spans="1:16" ht="12.75">
      <c r="A123" s="181" t="s">
        <v>175</v>
      </c>
      <c r="B123" s="207"/>
      <c r="C123" s="208"/>
      <c r="D123" s="222"/>
      <c r="E123" s="222"/>
      <c r="F123" s="224"/>
      <c r="G123" s="2"/>
      <c r="H123" s="2"/>
      <c r="I123" s="2"/>
      <c r="J123" s="2"/>
      <c r="K123" s="196"/>
      <c r="P123" s="2"/>
    </row>
    <row r="124" spans="1:16" ht="12.75">
      <c r="A124" s="188" t="s">
        <v>95</v>
      </c>
      <c r="B124" s="226"/>
      <c r="C124" s="190">
        <f>(C121+H121)*F33</f>
        <v>3640</v>
      </c>
      <c r="D124" s="189" t="s">
        <v>81</v>
      </c>
      <c r="E124" s="226"/>
      <c r="F124" s="227"/>
      <c r="G124" s="171"/>
      <c r="K124" s="196"/>
      <c r="P124" s="2"/>
    </row>
    <row r="125" spans="1:16" ht="12.75">
      <c r="A125" s="251" t="s">
        <v>96</v>
      </c>
      <c r="B125" s="228"/>
      <c r="C125" s="228"/>
      <c r="D125" s="228"/>
      <c r="E125" s="228"/>
      <c r="F125" s="252"/>
      <c r="G125" s="171"/>
      <c r="H125" s="212" t="s">
        <v>97</v>
      </c>
      <c r="I125" s="2"/>
      <c r="J125" s="213"/>
      <c r="K125" s="196"/>
      <c r="P125" s="2"/>
    </row>
    <row r="126" spans="1:16" ht="12.75">
      <c r="A126" s="188" t="s">
        <v>98</v>
      </c>
      <c r="B126" s="226"/>
      <c r="C126" s="214">
        <f>C124*$I$25</f>
        <v>236.6</v>
      </c>
      <c r="D126" s="198"/>
      <c r="E126" s="226"/>
      <c r="F126" s="253"/>
      <c r="G126" s="171"/>
      <c r="H126" s="2"/>
      <c r="I126" s="2"/>
      <c r="J126" s="213"/>
      <c r="K126" s="196"/>
      <c r="P126" s="2"/>
    </row>
    <row r="127" spans="1:16" ht="13.5" thickBot="1">
      <c r="A127" s="254"/>
      <c r="B127" s="153"/>
      <c r="C127" s="255"/>
      <c r="D127" s="256"/>
      <c r="E127" s="153"/>
      <c r="F127" s="153"/>
      <c r="G127" s="256"/>
      <c r="H127" s="153"/>
      <c r="I127" s="153"/>
      <c r="J127" s="257"/>
      <c r="K127" s="258"/>
      <c r="P127" s="2"/>
    </row>
    <row r="128" spans="1:16" ht="13.5" thickBot="1">
      <c r="A128" s="171"/>
      <c r="B128" s="2"/>
      <c r="C128" s="205"/>
      <c r="D128" s="171"/>
      <c r="E128" s="2"/>
      <c r="F128" s="2"/>
      <c r="G128" s="171"/>
      <c r="H128" s="2"/>
      <c r="I128" s="2"/>
      <c r="J128" s="213"/>
      <c r="K128" s="2"/>
      <c r="P128" s="2"/>
    </row>
    <row r="129" spans="1:16" ht="13.5" thickBot="1">
      <c r="A129" s="178" t="str">
        <f>A87</f>
        <v>Yearly Energy Analysis - Category II</v>
      </c>
      <c r="B129" s="179"/>
      <c r="C129" s="180"/>
      <c r="D129" s="162"/>
      <c r="E129" s="162"/>
      <c r="F129" s="162"/>
      <c r="G129" s="162"/>
      <c r="H129" s="162"/>
      <c r="I129" s="162"/>
      <c r="J129" s="162"/>
      <c r="K129" s="163"/>
      <c r="P129" s="2"/>
    </row>
    <row r="130" spans="1:16" ht="12.75">
      <c r="A130" s="181" t="s">
        <v>173</v>
      </c>
      <c r="B130" s="222"/>
      <c r="C130" s="223"/>
      <c r="D130" s="222"/>
      <c r="E130" s="222"/>
      <c r="F130" s="224"/>
      <c r="G130" s="184" t="s">
        <v>92</v>
      </c>
      <c r="H130" s="222"/>
      <c r="I130" s="222"/>
      <c r="J130" s="222"/>
      <c r="K130" s="225"/>
      <c r="P130" s="2"/>
    </row>
    <row r="131" spans="1:16" ht="12.75">
      <c r="A131" s="188" t="str">
        <f>A77</f>
        <v>Primary POH/Yr</v>
      </c>
      <c r="B131" s="189"/>
      <c r="C131" s="190">
        <f>IF(E41&gt;E42,E42*52,E41*52)</f>
        <v>0</v>
      </c>
      <c r="D131" s="189" t="s">
        <v>76</v>
      </c>
      <c r="E131" s="226"/>
      <c r="F131" s="227"/>
      <c r="G131" s="193" t="str">
        <f>G77</f>
        <v>A/C POH/Yr</v>
      </c>
      <c r="H131" s="259">
        <f>IF(E41&gt;E42,IF(E42&lt;$I$28,E42*$I$27,$I$28*$I$27),IF(E41&lt;$I$28,E41*$I$27,$I$28*$I$27))</f>
        <v>0</v>
      </c>
      <c r="I131" s="195" t="s">
        <v>76</v>
      </c>
      <c r="J131" s="198"/>
      <c r="K131" s="199"/>
      <c r="P131" s="2"/>
    </row>
    <row r="132" spans="1:16" ht="12.75">
      <c r="A132" s="181" t="s">
        <v>169</v>
      </c>
      <c r="B132" s="228"/>
      <c r="C132" s="249"/>
      <c r="D132" s="228"/>
      <c r="E132" s="228"/>
      <c r="F132" s="250"/>
      <c r="G132" s="184" t="s">
        <v>174</v>
      </c>
      <c r="H132" s="222"/>
      <c r="I132" s="222"/>
      <c r="J132" s="222"/>
      <c r="K132" s="225"/>
      <c r="P132" s="2"/>
    </row>
    <row r="133" spans="1:16" ht="12.75">
      <c r="A133" s="188" t="str">
        <f>A79</f>
        <v>Primary Energy/Yr</v>
      </c>
      <c r="B133" s="226"/>
      <c r="C133" s="190">
        <f>C131*$C$73/1000</f>
        <v>0</v>
      </c>
      <c r="D133" s="189" t="s">
        <v>81</v>
      </c>
      <c r="E133" s="226"/>
      <c r="F133" s="227"/>
      <c r="G133" s="193" t="str">
        <f>G79</f>
        <v>A/C Energy/Yr</v>
      </c>
      <c r="H133" s="190">
        <f>H131*$J$73/1000</f>
        <v>0</v>
      </c>
      <c r="I133" s="189" t="s">
        <v>81</v>
      </c>
      <c r="J133" s="198"/>
      <c r="K133" s="199"/>
      <c r="P133" s="2"/>
    </row>
    <row r="134" spans="1:16" ht="12.75">
      <c r="A134" s="239"/>
      <c r="B134" s="2"/>
      <c r="C134" s="2"/>
      <c r="D134" s="2"/>
      <c r="E134" s="2"/>
      <c r="F134" s="2"/>
      <c r="G134" s="2"/>
      <c r="H134" s="2"/>
      <c r="I134" s="2"/>
      <c r="J134" s="2"/>
      <c r="K134" s="196"/>
      <c r="P134" s="2"/>
    </row>
    <row r="135" spans="1:16" ht="12.75">
      <c r="A135" s="181" t="s">
        <v>175</v>
      </c>
      <c r="B135" s="207"/>
      <c r="C135" s="208"/>
      <c r="D135" s="222"/>
      <c r="E135" s="222"/>
      <c r="F135" s="224"/>
      <c r="G135" s="2"/>
      <c r="H135" s="2"/>
      <c r="I135" s="2"/>
      <c r="J135" s="2"/>
      <c r="K135" s="196"/>
      <c r="P135" s="2"/>
    </row>
    <row r="136" spans="1:16" ht="12.75">
      <c r="A136" s="188" t="s">
        <v>95</v>
      </c>
      <c r="B136" s="226"/>
      <c r="C136" s="190">
        <f>(C133+H133)*F40</f>
        <v>0</v>
      </c>
      <c r="D136" s="189" t="s">
        <v>81</v>
      </c>
      <c r="E136" s="226"/>
      <c r="F136" s="227"/>
      <c r="G136" s="203"/>
      <c r="H136" s="228"/>
      <c r="I136" s="228"/>
      <c r="J136" s="231"/>
      <c r="K136" s="230"/>
      <c r="P136" s="2"/>
    </row>
    <row r="137" spans="1:16" ht="12.75">
      <c r="A137" s="251" t="s">
        <v>96</v>
      </c>
      <c r="B137" s="228"/>
      <c r="C137" s="228"/>
      <c r="D137" s="228"/>
      <c r="E137" s="228"/>
      <c r="F137" s="250"/>
      <c r="G137" s="203"/>
      <c r="H137" s="212" t="s">
        <v>99</v>
      </c>
      <c r="I137" s="260"/>
      <c r="J137" s="261"/>
      <c r="K137" s="262"/>
      <c r="P137" s="2"/>
    </row>
    <row r="138" spans="1:16" ht="12.75">
      <c r="A138" s="188" t="s">
        <v>98</v>
      </c>
      <c r="B138" s="226"/>
      <c r="C138" s="214">
        <f>C136*$I$25</f>
        <v>0</v>
      </c>
      <c r="D138" s="198"/>
      <c r="E138" s="226"/>
      <c r="F138" s="227"/>
      <c r="G138" s="203"/>
      <c r="H138" s="228"/>
      <c r="I138" s="228"/>
      <c r="J138" s="231"/>
      <c r="K138" s="230"/>
      <c r="P138" s="2"/>
    </row>
    <row r="139" spans="1:16" ht="13.5" thickBot="1">
      <c r="A139" s="232"/>
      <c r="B139" s="233"/>
      <c r="C139" s="234"/>
      <c r="D139" s="233"/>
      <c r="E139" s="233"/>
      <c r="F139" s="233"/>
      <c r="G139" s="233"/>
      <c r="H139" s="233"/>
      <c r="I139" s="233"/>
      <c r="J139" s="233"/>
      <c r="K139" s="237"/>
      <c r="P139" s="2"/>
    </row>
    <row r="140" spans="1:16" ht="13.5" thickBot="1">
      <c r="A140" s="203"/>
      <c r="B140" s="228"/>
      <c r="C140" s="202"/>
      <c r="D140" s="228"/>
      <c r="E140" s="228"/>
      <c r="F140" s="228"/>
      <c r="G140" s="228"/>
      <c r="H140" s="228"/>
      <c r="I140" s="228"/>
      <c r="J140" s="228"/>
      <c r="K140" s="228"/>
      <c r="P140" s="2"/>
    </row>
    <row r="141" spans="1:16" ht="13.5" thickBot="1">
      <c r="A141" s="178" t="str">
        <f>A99</f>
        <v>Yearly Energy Analysis - Category III</v>
      </c>
      <c r="B141" s="179"/>
      <c r="C141" s="180"/>
      <c r="D141" s="263"/>
      <c r="E141" s="263"/>
      <c r="F141" s="263"/>
      <c r="G141" s="263"/>
      <c r="H141" s="263"/>
      <c r="I141" s="263"/>
      <c r="J141" s="263"/>
      <c r="K141" s="264"/>
      <c r="P141" s="2"/>
    </row>
    <row r="142" spans="1:16" ht="12.75">
      <c r="A142" s="181" t="s">
        <v>173</v>
      </c>
      <c r="B142" s="222"/>
      <c r="C142" s="223"/>
      <c r="D142" s="222"/>
      <c r="E142" s="222"/>
      <c r="F142" s="222"/>
      <c r="G142" s="184" t="s">
        <v>92</v>
      </c>
      <c r="H142" s="222"/>
      <c r="I142" s="222"/>
      <c r="J142" s="222"/>
      <c r="K142" s="225"/>
      <c r="P142" s="2"/>
    </row>
    <row r="143" spans="1:16" ht="12.75">
      <c r="A143" s="188" t="str">
        <f>A77</f>
        <v>Primary POH/Yr</v>
      </c>
      <c r="B143" s="189"/>
      <c r="C143" s="190">
        <f>IF(E48&gt;E49,E49*52,E48*52)</f>
        <v>0</v>
      </c>
      <c r="D143" s="189" t="s">
        <v>76</v>
      </c>
      <c r="E143" s="226"/>
      <c r="F143" s="226"/>
      <c r="G143" s="193" t="str">
        <f>G77</f>
        <v>A/C POH/Yr</v>
      </c>
      <c r="H143" s="259">
        <f>IF(E48&gt;E49,IF(E49&lt;$I$28,E49*$I$27,$I$28*$I$27),IF(E48&lt;$I$28,E48*$I$27,$I$28*$I$27))</f>
        <v>0</v>
      </c>
      <c r="I143" s="195" t="s">
        <v>76</v>
      </c>
      <c r="J143" s="198"/>
      <c r="K143" s="199"/>
      <c r="P143" s="2"/>
    </row>
    <row r="144" spans="1:16" ht="12.75">
      <c r="A144" s="181" t="s">
        <v>169</v>
      </c>
      <c r="B144" s="260"/>
      <c r="C144" s="265"/>
      <c r="D144" s="260"/>
      <c r="E144" s="260"/>
      <c r="F144" s="260"/>
      <c r="G144" s="266" t="s">
        <v>174</v>
      </c>
      <c r="H144" s="228"/>
      <c r="I144" s="228"/>
      <c r="J144" s="228"/>
      <c r="K144" s="230"/>
      <c r="P144" s="2"/>
    </row>
    <row r="145" spans="1:16" ht="12.75">
      <c r="A145" s="188" t="str">
        <f>A79</f>
        <v>Primary Energy/Yr</v>
      </c>
      <c r="B145" s="226"/>
      <c r="C145" s="190">
        <f>C143*$C$73/1000</f>
        <v>0</v>
      </c>
      <c r="D145" s="189" t="s">
        <v>81</v>
      </c>
      <c r="E145" s="226"/>
      <c r="F145" s="226"/>
      <c r="G145" s="193" t="str">
        <f>G79</f>
        <v>A/C Energy/Yr</v>
      </c>
      <c r="H145" s="190">
        <f>H143*$J$73/1000</f>
        <v>0</v>
      </c>
      <c r="I145" s="189" t="s">
        <v>81</v>
      </c>
      <c r="J145" s="198"/>
      <c r="K145" s="199"/>
      <c r="P145" s="2"/>
    </row>
    <row r="146" spans="1:16" ht="12.75">
      <c r="A146" s="200"/>
      <c r="B146" s="228"/>
      <c r="C146" s="202"/>
      <c r="D146" s="203"/>
      <c r="E146" s="228"/>
      <c r="F146" s="228"/>
      <c r="G146" s="203"/>
      <c r="H146" s="228"/>
      <c r="I146" s="228"/>
      <c r="J146" s="202"/>
      <c r="K146" s="229"/>
      <c r="P146" s="2"/>
    </row>
    <row r="147" spans="1:16" ht="12.75">
      <c r="A147" s="181" t="s">
        <v>175</v>
      </c>
      <c r="B147" s="207"/>
      <c r="C147" s="208"/>
      <c r="D147" s="222"/>
      <c r="E147" s="222"/>
      <c r="F147" s="224"/>
      <c r="G147" s="2"/>
      <c r="H147" s="2"/>
      <c r="I147" s="2"/>
      <c r="J147" s="2"/>
      <c r="K147" s="196"/>
      <c r="P147" s="2"/>
    </row>
    <row r="148" spans="1:16" ht="12.75">
      <c r="A148" s="188" t="s">
        <v>95</v>
      </c>
      <c r="B148" s="226"/>
      <c r="C148" s="190">
        <f>(C145+H145)*F47</f>
        <v>0</v>
      </c>
      <c r="D148" s="189" t="s">
        <v>81</v>
      </c>
      <c r="E148" s="226"/>
      <c r="F148" s="227"/>
      <c r="G148" s="2"/>
      <c r="H148" s="2"/>
      <c r="I148" s="2"/>
      <c r="J148" s="2"/>
      <c r="K148" s="196"/>
      <c r="P148" s="2"/>
    </row>
    <row r="149" spans="1:16" ht="12.75">
      <c r="A149" s="251" t="s">
        <v>96</v>
      </c>
      <c r="B149" s="228"/>
      <c r="C149" s="228"/>
      <c r="D149" s="228"/>
      <c r="E149" s="228"/>
      <c r="F149" s="252"/>
      <c r="G149" s="2"/>
      <c r="H149" s="212" t="s">
        <v>100</v>
      </c>
      <c r="I149" s="209"/>
      <c r="J149" s="209"/>
      <c r="K149" s="210"/>
      <c r="P149" s="2"/>
    </row>
    <row r="150" spans="1:16" ht="12.75">
      <c r="A150" s="188" t="s">
        <v>98</v>
      </c>
      <c r="B150" s="226"/>
      <c r="C150" s="214">
        <f>C148*$I$25</f>
        <v>0</v>
      </c>
      <c r="D150" s="198"/>
      <c r="E150" s="226"/>
      <c r="F150" s="253"/>
      <c r="G150" s="2"/>
      <c r="H150" s="2"/>
      <c r="I150" s="2"/>
      <c r="J150" s="2"/>
      <c r="K150" s="196"/>
      <c r="P150" s="2"/>
    </row>
    <row r="151" spans="1:16" ht="13.5" thickBot="1">
      <c r="A151" s="232"/>
      <c r="B151" s="233"/>
      <c r="C151" s="234"/>
      <c r="D151" s="235"/>
      <c r="E151" s="233"/>
      <c r="F151" s="233"/>
      <c r="G151" s="153"/>
      <c r="H151" s="153"/>
      <c r="I151" s="153"/>
      <c r="J151" s="153"/>
      <c r="K151" s="258"/>
      <c r="P151" s="2"/>
    </row>
    <row r="152" ht="12.75">
      <c r="P152" s="2"/>
    </row>
    <row r="153" spans="1:5" ht="19.5">
      <c r="A153" s="154" t="s">
        <v>176</v>
      </c>
      <c r="B153" s="155"/>
      <c r="C153" s="156"/>
      <c r="D153" s="157"/>
      <c r="E153" s="158"/>
    </row>
    <row r="154" ht="13.5" thickBot="1"/>
    <row r="155" spans="1:10" ht="12.75">
      <c r="A155" s="159" t="s">
        <v>177</v>
      </c>
      <c r="B155" s="160"/>
      <c r="C155" s="160"/>
      <c r="D155" s="161"/>
      <c r="G155" s="159" t="s">
        <v>178</v>
      </c>
      <c r="H155" s="160"/>
      <c r="I155" s="160"/>
      <c r="J155" s="161"/>
    </row>
    <row r="156" spans="1:10" ht="12.75">
      <c r="A156" s="164" t="s">
        <v>64</v>
      </c>
      <c r="B156" s="27"/>
      <c r="C156" s="165">
        <v>5</v>
      </c>
      <c r="D156" s="166" t="s">
        <v>65</v>
      </c>
      <c r="G156" s="164" t="s">
        <v>64</v>
      </c>
      <c r="H156" s="27"/>
      <c r="I156" s="165">
        <v>5</v>
      </c>
      <c r="J156" s="166" t="s">
        <v>65</v>
      </c>
    </row>
    <row r="157" spans="1:10" ht="12.75">
      <c r="A157" s="164" t="s">
        <v>68</v>
      </c>
      <c r="B157" s="27"/>
      <c r="C157" s="267">
        <v>0.02</v>
      </c>
      <c r="D157" s="166" t="s">
        <v>69</v>
      </c>
      <c r="F157" s="171"/>
      <c r="G157" s="164" t="s">
        <v>68</v>
      </c>
      <c r="H157" s="27"/>
      <c r="I157" s="268">
        <v>0.0015</v>
      </c>
      <c r="J157" s="166" t="s">
        <v>69</v>
      </c>
    </row>
    <row r="158" spans="1:10" ht="13.5" thickBot="1">
      <c r="A158" s="173" t="s">
        <v>104</v>
      </c>
      <c r="B158" s="174"/>
      <c r="C158" s="269">
        <f>1*C156*C157</f>
        <v>0.1</v>
      </c>
      <c r="D158" s="176" t="s">
        <v>67</v>
      </c>
      <c r="G158" s="173" t="s">
        <v>104</v>
      </c>
      <c r="H158" s="174"/>
      <c r="I158" s="269">
        <f>1*I156*I157</f>
        <v>0.0075</v>
      </c>
      <c r="J158" s="176" t="s">
        <v>67</v>
      </c>
    </row>
    <row r="159" spans="1:4" ht="13.5" thickBot="1">
      <c r="A159" s="27"/>
      <c r="B159" s="27"/>
      <c r="C159" s="27"/>
      <c r="D159" s="27"/>
    </row>
    <row r="160" spans="1:11" ht="13.5" thickBot="1">
      <c r="A160" s="178" t="s">
        <v>179</v>
      </c>
      <c r="B160" s="179"/>
      <c r="C160" s="180"/>
      <c r="D160" s="162"/>
      <c r="E160" s="162"/>
      <c r="F160" s="162"/>
      <c r="G160" s="162"/>
      <c r="H160" s="162"/>
      <c r="I160" s="162"/>
      <c r="J160" s="162"/>
      <c r="K160" s="163"/>
    </row>
    <row r="161" spans="1:11" ht="12.75">
      <c r="A161" s="181" t="s">
        <v>106</v>
      </c>
      <c r="B161" s="182"/>
      <c r="C161" s="182"/>
      <c r="D161" s="182"/>
      <c r="E161" s="182"/>
      <c r="F161" s="183"/>
      <c r="G161" s="184" t="s">
        <v>107</v>
      </c>
      <c r="H161" s="182"/>
      <c r="I161" s="182"/>
      <c r="J161" s="182"/>
      <c r="K161" s="185"/>
    </row>
    <row r="162" spans="1:11" ht="12.75">
      <c r="A162" s="188" t="s">
        <v>108</v>
      </c>
      <c r="B162" s="189"/>
      <c r="C162" s="190">
        <f>IF(E34&gt;E35,52*E35,52*E34)</f>
        <v>3640</v>
      </c>
      <c r="D162" s="189" t="s">
        <v>76</v>
      </c>
      <c r="E162" s="191"/>
      <c r="F162" s="192"/>
      <c r="G162" s="193" t="s">
        <v>109</v>
      </c>
      <c r="H162" s="189"/>
      <c r="I162" s="190">
        <f>IF((E34-E35)&gt;0,(E34-E35)*52,0)</f>
        <v>5096</v>
      </c>
      <c r="J162" s="189" t="s">
        <v>76</v>
      </c>
      <c r="K162" s="270"/>
    </row>
    <row r="163" spans="1:11" ht="12.75">
      <c r="A163" s="181" t="s">
        <v>110</v>
      </c>
      <c r="B163" s="182"/>
      <c r="C163" s="197"/>
      <c r="D163" s="182"/>
      <c r="E163" s="182"/>
      <c r="F163" s="183"/>
      <c r="G163" s="184" t="s">
        <v>111</v>
      </c>
      <c r="H163" s="182"/>
      <c r="I163" s="197"/>
      <c r="J163" s="182"/>
      <c r="K163" s="185"/>
    </row>
    <row r="164" spans="1:11" ht="12.75">
      <c r="A164" s="188" t="s">
        <v>112</v>
      </c>
      <c r="B164" s="191"/>
      <c r="C164" s="271">
        <f>$C$158*C162/1000</f>
        <v>0.364</v>
      </c>
      <c r="D164" s="189" t="s">
        <v>81</v>
      </c>
      <c r="E164" s="191"/>
      <c r="F164" s="192"/>
      <c r="G164" s="193" t="s">
        <v>112</v>
      </c>
      <c r="H164" s="191"/>
      <c r="I164" s="271">
        <f>I$158*I162/1000</f>
        <v>0.03822</v>
      </c>
      <c r="J164" s="189" t="s">
        <v>81</v>
      </c>
      <c r="K164" s="270"/>
    </row>
    <row r="165" spans="1:11" ht="12.75">
      <c r="A165" s="200"/>
      <c r="B165" s="201"/>
      <c r="C165" s="202"/>
      <c r="D165" s="203"/>
      <c r="E165" s="201"/>
      <c r="F165" s="201"/>
      <c r="G165" s="171"/>
      <c r="H165" s="204"/>
      <c r="I165" s="204"/>
      <c r="J165" s="205"/>
      <c r="K165" s="206"/>
    </row>
    <row r="166" spans="1:11" ht="12.75">
      <c r="A166" s="181" t="s">
        <v>180</v>
      </c>
      <c r="B166" s="207"/>
      <c r="C166" s="208"/>
      <c r="D166" s="182"/>
      <c r="E166" s="182"/>
      <c r="F166" s="182"/>
      <c r="G166" s="272"/>
      <c r="H166" s="209"/>
      <c r="I166" s="209"/>
      <c r="J166" s="209"/>
      <c r="K166" s="210"/>
    </row>
    <row r="167" spans="1:11" ht="12.75">
      <c r="A167" s="188" t="s">
        <v>114</v>
      </c>
      <c r="B167" s="191"/>
      <c r="C167" s="273">
        <f>(C164+I164)*F33</f>
        <v>4.0222</v>
      </c>
      <c r="D167" s="189" t="s">
        <v>81</v>
      </c>
      <c r="E167" s="191"/>
      <c r="F167" s="191"/>
      <c r="G167" s="274"/>
      <c r="H167" s="204"/>
      <c r="I167" s="204"/>
      <c r="J167" s="204"/>
      <c r="K167" s="211"/>
    </row>
    <row r="168" spans="1:11" ht="12.75">
      <c r="A168" s="181" t="s">
        <v>115</v>
      </c>
      <c r="B168" s="182"/>
      <c r="C168" s="182"/>
      <c r="D168" s="182"/>
      <c r="E168" s="182"/>
      <c r="F168" s="182"/>
      <c r="G168" s="275"/>
      <c r="K168" s="196"/>
    </row>
    <row r="169" spans="1:11" ht="12.75">
      <c r="A169" s="188" t="s">
        <v>116</v>
      </c>
      <c r="B169" s="191"/>
      <c r="C169" s="276">
        <f>C167*$I$25</f>
        <v>0.261443</v>
      </c>
      <c r="D169" s="198"/>
      <c r="E169" s="191"/>
      <c r="F169" s="191"/>
      <c r="G169" s="277"/>
      <c r="H169" s="204"/>
      <c r="I169" s="204"/>
      <c r="J169" s="213"/>
      <c r="K169" s="211"/>
    </row>
    <row r="170" spans="1:11" ht="16.5" thickBot="1">
      <c r="A170" s="215"/>
      <c r="B170" s="216"/>
      <c r="C170" s="217"/>
      <c r="D170" s="218"/>
      <c r="E170" s="216"/>
      <c r="F170" s="216"/>
      <c r="G170" s="218"/>
      <c r="H170" s="216"/>
      <c r="I170" s="216"/>
      <c r="J170" s="219"/>
      <c r="K170" s="220"/>
    </row>
    <row r="171" spans="1:11" ht="13.5" thickBot="1">
      <c r="A171" s="171"/>
      <c r="B171" s="2"/>
      <c r="C171" s="205"/>
      <c r="D171" s="171"/>
      <c r="E171" s="2"/>
      <c r="F171" s="2"/>
      <c r="G171" s="171"/>
      <c r="H171" s="2"/>
      <c r="I171" s="2"/>
      <c r="J171" s="213"/>
      <c r="K171" s="2"/>
    </row>
    <row r="172" spans="1:11" ht="13.5" thickBot="1">
      <c r="A172" s="178" t="s">
        <v>181</v>
      </c>
      <c r="B172" s="179"/>
      <c r="C172" s="180"/>
      <c r="D172" s="162"/>
      <c r="E172" s="162"/>
      <c r="F172" s="162"/>
      <c r="G172" s="162"/>
      <c r="H172" s="162"/>
      <c r="I172" s="162"/>
      <c r="J172" s="162"/>
      <c r="K172" s="163"/>
    </row>
    <row r="173" spans="1:11" ht="12.75">
      <c r="A173" s="181" t="s">
        <v>106</v>
      </c>
      <c r="B173" s="182"/>
      <c r="C173" s="182"/>
      <c r="D173" s="182"/>
      <c r="E173" s="182"/>
      <c r="F173" s="183"/>
      <c r="G173" s="184" t="s">
        <v>107</v>
      </c>
      <c r="H173" s="182"/>
      <c r="I173" s="182"/>
      <c r="J173" s="182"/>
      <c r="K173" s="185"/>
    </row>
    <row r="174" spans="1:11" ht="12.75">
      <c r="A174" s="188" t="s">
        <v>108</v>
      </c>
      <c r="B174" s="189"/>
      <c r="C174" s="190">
        <f>IF(E41&gt;E42,52*E42,52*E41)</f>
        <v>0</v>
      </c>
      <c r="D174" s="189" t="s">
        <v>76</v>
      </c>
      <c r="E174" s="191"/>
      <c r="F174" s="192"/>
      <c r="G174" s="193" t="s">
        <v>109</v>
      </c>
      <c r="H174" s="189"/>
      <c r="I174" s="190">
        <f>IF((E41-E42)&gt;0,(E41-E42)*52,0)</f>
        <v>0</v>
      </c>
      <c r="J174" s="189" t="s">
        <v>76</v>
      </c>
      <c r="K174" s="270"/>
    </row>
    <row r="175" spans="1:11" ht="12.75">
      <c r="A175" s="181" t="s">
        <v>110</v>
      </c>
      <c r="B175" s="182"/>
      <c r="C175" s="197"/>
      <c r="D175" s="182"/>
      <c r="E175" s="182"/>
      <c r="F175" s="183"/>
      <c r="G175" s="184" t="s">
        <v>111</v>
      </c>
      <c r="H175" s="182"/>
      <c r="I175" s="197"/>
      <c r="J175" s="182"/>
      <c r="K175" s="185"/>
    </row>
    <row r="176" spans="1:11" ht="12.75">
      <c r="A176" s="188" t="s">
        <v>112</v>
      </c>
      <c r="B176" s="191"/>
      <c r="C176" s="271">
        <f>$C$158*C174/1000</f>
        <v>0</v>
      </c>
      <c r="D176" s="189" t="s">
        <v>81</v>
      </c>
      <c r="E176" s="191"/>
      <c r="F176" s="192"/>
      <c r="G176" s="193" t="s">
        <v>112</v>
      </c>
      <c r="H176" s="191"/>
      <c r="I176" s="271">
        <f>I$158*I174/1000</f>
        <v>0</v>
      </c>
      <c r="J176" s="189" t="s">
        <v>81</v>
      </c>
      <c r="K176" s="270"/>
    </row>
    <row r="177" spans="1:11" ht="12.75">
      <c r="A177" s="200"/>
      <c r="B177" s="201"/>
      <c r="C177" s="202"/>
      <c r="D177" s="203"/>
      <c r="E177" s="201"/>
      <c r="F177" s="201"/>
      <c r="G177" s="171"/>
      <c r="H177" s="204"/>
      <c r="I177" s="204"/>
      <c r="J177" s="205"/>
      <c r="K177" s="206"/>
    </row>
    <row r="178" spans="1:11" ht="12.75">
      <c r="A178" s="181" t="s">
        <v>180</v>
      </c>
      <c r="B178" s="207"/>
      <c r="C178" s="208"/>
      <c r="D178" s="182"/>
      <c r="E178" s="182"/>
      <c r="F178" s="182"/>
      <c r="G178" s="272"/>
      <c r="H178" s="209"/>
      <c r="I178" s="209"/>
      <c r="J178" s="209"/>
      <c r="K178" s="210"/>
    </row>
    <row r="179" spans="1:11" ht="12.75">
      <c r="A179" s="188" t="s">
        <v>114</v>
      </c>
      <c r="B179" s="191"/>
      <c r="C179" s="273">
        <f>(C176+I176)*F40</f>
        <v>0</v>
      </c>
      <c r="D179" s="189" t="s">
        <v>81</v>
      </c>
      <c r="E179" s="191"/>
      <c r="F179" s="191"/>
      <c r="G179" s="274"/>
      <c r="H179" s="204"/>
      <c r="I179" s="204"/>
      <c r="J179" s="204"/>
      <c r="K179" s="211"/>
    </row>
    <row r="180" spans="1:11" ht="12.75">
      <c r="A180" s="181" t="s">
        <v>115</v>
      </c>
      <c r="B180" s="182"/>
      <c r="C180" s="182"/>
      <c r="D180" s="182"/>
      <c r="E180" s="182"/>
      <c r="F180" s="182"/>
      <c r="G180" s="275"/>
      <c r="K180" s="196"/>
    </row>
    <row r="181" spans="1:11" ht="12.75">
      <c r="A181" s="188" t="s">
        <v>116</v>
      </c>
      <c r="B181" s="191"/>
      <c r="C181" s="276">
        <f>C179*$I$25</f>
        <v>0</v>
      </c>
      <c r="D181" s="198"/>
      <c r="E181" s="191"/>
      <c r="F181" s="191"/>
      <c r="G181" s="277"/>
      <c r="H181" s="204"/>
      <c r="I181" s="204"/>
      <c r="J181" s="213"/>
      <c r="K181" s="211"/>
    </row>
    <row r="182" spans="1:11" ht="16.5" thickBot="1">
      <c r="A182" s="215"/>
      <c r="B182" s="216"/>
      <c r="C182" s="217"/>
      <c r="D182" s="218"/>
      <c r="E182" s="216"/>
      <c r="F182" s="216"/>
      <c r="G182" s="218"/>
      <c r="H182" s="216"/>
      <c r="I182" s="216"/>
      <c r="J182" s="219"/>
      <c r="K182" s="220"/>
    </row>
    <row r="183" spans="1:11" ht="13.5" thickBot="1">
      <c r="A183" s="171"/>
      <c r="B183" s="2"/>
      <c r="C183" s="205"/>
      <c r="D183" s="171"/>
      <c r="E183" s="2"/>
      <c r="F183" s="2"/>
      <c r="G183" s="171"/>
      <c r="H183" s="2"/>
      <c r="I183" s="2"/>
      <c r="J183" s="213"/>
      <c r="K183" s="2"/>
    </row>
    <row r="184" spans="1:11" ht="13.5" thickBot="1">
      <c r="A184" s="178" t="s">
        <v>182</v>
      </c>
      <c r="B184" s="179"/>
      <c r="C184" s="180"/>
      <c r="D184" s="162"/>
      <c r="E184" s="162"/>
      <c r="F184" s="162"/>
      <c r="G184" s="162"/>
      <c r="H184" s="162"/>
      <c r="I184" s="162"/>
      <c r="J184" s="162"/>
      <c r="K184" s="163"/>
    </row>
    <row r="185" spans="1:11" ht="12.75">
      <c r="A185" s="181" t="s">
        <v>106</v>
      </c>
      <c r="B185" s="182"/>
      <c r="C185" s="182"/>
      <c r="D185" s="182"/>
      <c r="E185" s="182"/>
      <c r="F185" s="183"/>
      <c r="G185" s="184" t="s">
        <v>107</v>
      </c>
      <c r="H185" s="182"/>
      <c r="I185" s="182"/>
      <c r="J185" s="182"/>
      <c r="K185" s="185"/>
    </row>
    <row r="186" spans="1:11" ht="12.75">
      <c r="A186" s="188" t="s">
        <v>108</v>
      </c>
      <c r="B186" s="189"/>
      <c r="C186" s="190">
        <f>IF(E48&gt;E49,52*E49,52*E48)</f>
        <v>0</v>
      </c>
      <c r="D186" s="189" t="s">
        <v>76</v>
      </c>
      <c r="E186" s="191"/>
      <c r="F186" s="192"/>
      <c r="G186" s="193" t="s">
        <v>109</v>
      </c>
      <c r="H186" s="189"/>
      <c r="I186" s="190">
        <f>IF((E48-E49)&gt;0,(E48-E49)*52,0)</f>
        <v>0</v>
      </c>
      <c r="J186" s="189" t="s">
        <v>76</v>
      </c>
      <c r="K186" s="270"/>
    </row>
    <row r="187" spans="1:11" ht="12.75">
      <c r="A187" s="181" t="s">
        <v>110</v>
      </c>
      <c r="B187" s="182"/>
      <c r="C187" s="197"/>
      <c r="D187" s="182"/>
      <c r="E187" s="182"/>
      <c r="F187" s="183"/>
      <c r="G187" s="184" t="s">
        <v>111</v>
      </c>
      <c r="H187" s="182"/>
      <c r="I187" s="197"/>
      <c r="J187" s="182"/>
      <c r="K187" s="185"/>
    </row>
    <row r="188" spans="1:11" ht="12.75">
      <c r="A188" s="188" t="s">
        <v>112</v>
      </c>
      <c r="B188" s="191"/>
      <c r="C188" s="271">
        <f>$C$158*C186/1000</f>
        <v>0</v>
      </c>
      <c r="D188" s="189" t="s">
        <v>81</v>
      </c>
      <c r="E188" s="191"/>
      <c r="F188" s="192"/>
      <c r="G188" s="193" t="s">
        <v>112</v>
      </c>
      <c r="H188" s="191"/>
      <c r="I188" s="271">
        <f>I$158*I186/1000</f>
        <v>0</v>
      </c>
      <c r="J188" s="189" t="s">
        <v>81</v>
      </c>
      <c r="K188" s="270"/>
    </row>
    <row r="189" spans="1:11" ht="12.75">
      <c r="A189" s="200"/>
      <c r="B189" s="201"/>
      <c r="C189" s="202"/>
      <c r="D189" s="203"/>
      <c r="E189" s="201"/>
      <c r="F189" s="201"/>
      <c r="G189" s="171"/>
      <c r="H189" s="204"/>
      <c r="I189" s="204"/>
      <c r="J189" s="205"/>
      <c r="K189" s="206"/>
    </row>
    <row r="190" spans="1:11" ht="12.75">
      <c r="A190" s="181" t="s">
        <v>180</v>
      </c>
      <c r="B190" s="207"/>
      <c r="C190" s="208"/>
      <c r="D190" s="182"/>
      <c r="E190" s="182"/>
      <c r="F190" s="182"/>
      <c r="G190" s="272"/>
      <c r="H190" s="209"/>
      <c r="I190" s="209"/>
      <c r="J190" s="209"/>
      <c r="K190" s="210"/>
    </row>
    <row r="191" spans="1:11" ht="12.75">
      <c r="A191" s="188" t="s">
        <v>114</v>
      </c>
      <c r="B191" s="191"/>
      <c r="C191" s="273">
        <f>(C188+I188)*F47</f>
        <v>0</v>
      </c>
      <c r="D191" s="189" t="s">
        <v>81</v>
      </c>
      <c r="E191" s="191"/>
      <c r="F191" s="191"/>
      <c r="G191" s="274"/>
      <c r="H191" s="204"/>
      <c r="I191" s="204"/>
      <c r="J191" s="204"/>
      <c r="K191" s="211"/>
    </row>
    <row r="192" spans="1:11" ht="12.75">
      <c r="A192" s="181" t="s">
        <v>115</v>
      </c>
      <c r="B192" s="182"/>
      <c r="C192" s="182"/>
      <c r="D192" s="182"/>
      <c r="E192" s="182"/>
      <c r="F192" s="182"/>
      <c r="G192" s="275"/>
      <c r="K192" s="196"/>
    </row>
    <row r="193" spans="1:11" ht="12.75">
      <c r="A193" s="188" t="s">
        <v>116</v>
      </c>
      <c r="B193" s="191"/>
      <c r="C193" s="276">
        <f>C191*$I$25</f>
        <v>0</v>
      </c>
      <c r="D193" s="198"/>
      <c r="E193" s="191"/>
      <c r="F193" s="191"/>
      <c r="G193" s="277"/>
      <c r="H193" s="204"/>
      <c r="I193" s="204"/>
      <c r="J193" s="213"/>
      <c r="K193" s="211"/>
    </row>
    <row r="194" spans="1:11" ht="16.5" thickBot="1">
      <c r="A194" s="215"/>
      <c r="B194" s="216"/>
      <c r="C194" s="217"/>
      <c r="D194" s="218"/>
      <c r="E194" s="216"/>
      <c r="F194" s="216"/>
      <c r="G194" s="218"/>
      <c r="H194" s="216"/>
      <c r="I194" s="216"/>
      <c r="J194" s="219"/>
      <c r="K194" s="220"/>
    </row>
    <row r="197" ht="19.5">
      <c r="A197" s="154" t="s">
        <v>183</v>
      </c>
    </row>
    <row r="199" spans="1:7" ht="12.75">
      <c r="A199" s="278" t="s">
        <v>184</v>
      </c>
      <c r="B199" s="279"/>
      <c r="C199" s="279"/>
      <c r="D199" s="279"/>
      <c r="E199" s="279"/>
      <c r="F199" s="279"/>
      <c r="G199" s="280"/>
    </row>
    <row r="200" spans="1:8" ht="12.75">
      <c r="A200" s="281" t="s">
        <v>185</v>
      </c>
      <c r="B200" s="198"/>
      <c r="C200" s="198"/>
      <c r="D200" s="214">
        <f>C84+C96+C108</f>
        <v>567.84</v>
      </c>
      <c r="E200" s="198"/>
      <c r="F200" s="198"/>
      <c r="G200" s="253"/>
      <c r="H200" s="282" t="s">
        <v>122</v>
      </c>
    </row>
    <row r="202" spans="1:7" ht="12.75">
      <c r="A202" s="278" t="s">
        <v>186</v>
      </c>
      <c r="B202" s="279"/>
      <c r="C202" s="279"/>
      <c r="D202" s="279"/>
      <c r="E202" s="279"/>
      <c r="F202" s="279"/>
      <c r="G202" s="280"/>
    </row>
    <row r="203" spans="1:8" ht="12.75">
      <c r="A203" s="281" t="s">
        <v>187</v>
      </c>
      <c r="B203" s="198"/>
      <c r="C203" s="198"/>
      <c r="D203" s="214">
        <f>C126+C138+C150</f>
        <v>236.6</v>
      </c>
      <c r="E203" s="198"/>
      <c r="F203" s="198"/>
      <c r="G203" s="253"/>
      <c r="H203" s="282" t="s">
        <v>125</v>
      </c>
    </row>
    <row r="204" spans="1:8" ht="12.75">
      <c r="A204" s="171"/>
      <c r="B204" s="2"/>
      <c r="C204" s="2"/>
      <c r="D204" s="310"/>
      <c r="E204" s="2"/>
      <c r="F204" s="2"/>
      <c r="G204" s="2"/>
      <c r="H204" s="282"/>
    </row>
    <row r="205" spans="1:7" ht="12.75">
      <c r="A205" s="278" t="s">
        <v>202</v>
      </c>
      <c r="B205" s="279"/>
      <c r="C205" s="279"/>
      <c r="D205" s="279"/>
      <c r="E205" s="279"/>
      <c r="F205" s="279"/>
      <c r="G205" s="280"/>
    </row>
    <row r="206" spans="1:8" ht="12.75">
      <c r="A206" s="281" t="s">
        <v>203</v>
      </c>
      <c r="B206" s="198"/>
      <c r="C206" s="198"/>
      <c r="D206" s="309">
        <f>C82+C94+C106-C124-C136-C148</f>
        <v>5096</v>
      </c>
      <c r="E206" s="198"/>
      <c r="F206" s="198"/>
      <c r="G206" s="253"/>
      <c r="H206" s="282" t="s">
        <v>204</v>
      </c>
    </row>
    <row r="208" spans="1:7" ht="12.75">
      <c r="A208" s="278" t="s">
        <v>188</v>
      </c>
      <c r="B208" s="279"/>
      <c r="C208" s="279"/>
      <c r="D208" s="279"/>
      <c r="E208" s="279"/>
      <c r="F208" s="279"/>
      <c r="G208" s="280"/>
    </row>
    <row r="209" spans="1:8" ht="12.75">
      <c r="A209" s="281" t="s">
        <v>189</v>
      </c>
      <c r="B209" s="198"/>
      <c r="C209" s="198"/>
      <c r="D209" s="276">
        <f>C169+C181+C193</f>
        <v>0.261443</v>
      </c>
      <c r="E209" s="198"/>
      <c r="F209" s="198"/>
      <c r="G209" s="253"/>
      <c r="H209" s="282" t="s">
        <v>190</v>
      </c>
    </row>
    <row r="211" spans="1:7" ht="12.75">
      <c r="A211" s="278" t="s">
        <v>129</v>
      </c>
      <c r="B211" s="279"/>
      <c r="C211" s="279"/>
      <c r="D211" s="279"/>
      <c r="E211" s="279"/>
      <c r="F211" s="279"/>
      <c r="G211" s="280"/>
    </row>
    <row r="212" spans="1:8" ht="12.75">
      <c r="A212" s="281" t="s">
        <v>130</v>
      </c>
      <c r="B212" s="198"/>
      <c r="C212" s="198"/>
      <c r="D212" s="214">
        <f>D200-(D203+D209)</f>
        <v>330.978557</v>
      </c>
      <c r="E212" s="198"/>
      <c r="F212" s="198"/>
      <c r="G212" s="253"/>
      <c r="H212" s="282" t="s">
        <v>131</v>
      </c>
    </row>
    <row r="214" spans="1:7" ht="12.75">
      <c r="A214" s="278" t="s">
        <v>205</v>
      </c>
      <c r="B214" s="279"/>
      <c r="C214" s="279"/>
      <c r="D214" s="279"/>
      <c r="E214" s="279"/>
      <c r="F214" s="279"/>
      <c r="G214" s="280"/>
    </row>
    <row r="215" spans="1:8" ht="12.75">
      <c r="A215" s="281" t="s">
        <v>206</v>
      </c>
      <c r="B215" s="198"/>
      <c r="C215" s="198"/>
      <c r="D215" s="312">
        <f>(D200-D203)/D200</f>
        <v>0.5833333333333334</v>
      </c>
      <c r="E215" s="198"/>
      <c r="F215" s="198"/>
      <c r="G215" s="253"/>
      <c r="H215" s="282" t="s">
        <v>207</v>
      </c>
    </row>
    <row r="217" spans="1:7" ht="12.75">
      <c r="A217" s="278" t="s">
        <v>191</v>
      </c>
      <c r="B217" s="279"/>
      <c r="C217" s="279"/>
      <c r="D217" s="279"/>
      <c r="E217" s="279"/>
      <c r="F217" s="279"/>
      <c r="G217" s="280"/>
    </row>
    <row r="218" spans="1:8" ht="12.75">
      <c r="A218" s="281" t="s">
        <v>192</v>
      </c>
      <c r="B218" s="198"/>
      <c r="C218" s="198"/>
      <c r="D218" s="276">
        <f>D212/(F33+F40+F47)</f>
        <v>33.097855700000004</v>
      </c>
      <c r="E218" s="198"/>
      <c r="F218" s="198"/>
      <c r="G218" s="253"/>
      <c r="H218" s="282" t="s">
        <v>193</v>
      </c>
    </row>
    <row r="219" spans="1:8" ht="12.75">
      <c r="A219" s="171"/>
      <c r="B219" s="2"/>
      <c r="C219" s="2"/>
      <c r="D219" s="311"/>
      <c r="E219" s="2"/>
      <c r="F219" s="2"/>
      <c r="G219" s="2"/>
      <c r="H219" s="282"/>
    </row>
    <row r="220" ht="19.5">
      <c r="A220" s="154" t="s">
        <v>135</v>
      </c>
    </row>
    <row r="221" ht="13.5" thickBot="1"/>
    <row r="222" spans="1:6" ht="12.75">
      <c r="A222" s="283" t="s">
        <v>136</v>
      </c>
      <c r="B222" s="284"/>
      <c r="C222" s="162"/>
      <c r="D222" s="162"/>
      <c r="E222" s="162"/>
      <c r="F222" s="163"/>
    </row>
    <row r="223" spans="1:6" ht="12.75">
      <c r="A223" s="285" t="s">
        <v>137</v>
      </c>
      <c r="B223" s="279"/>
      <c r="C223" s="279"/>
      <c r="D223" s="279"/>
      <c r="E223" s="279"/>
      <c r="F223" s="286"/>
    </row>
    <row r="224" spans="1:6" ht="12.75">
      <c r="A224" s="287" t="s">
        <v>21</v>
      </c>
      <c r="B224" s="198"/>
      <c r="C224" s="288">
        <f>(I64*I61)/D212*12</f>
        <v>28.642338905356937</v>
      </c>
      <c r="D224" s="198"/>
      <c r="E224" s="198"/>
      <c r="F224" s="199"/>
    </row>
    <row r="225" spans="1:11" ht="12.75">
      <c r="A225" s="289" t="s">
        <v>138</v>
      </c>
      <c r="B225" s="2"/>
      <c r="C225" s="2"/>
      <c r="D225" s="2"/>
      <c r="E225" s="2"/>
      <c r="F225" s="196"/>
      <c r="H225" s="212" t="s">
        <v>139</v>
      </c>
      <c r="I225" s="2"/>
      <c r="J225" s="2"/>
      <c r="K225" s="2"/>
    </row>
    <row r="226" spans="1:6" ht="12.75">
      <c r="A226" s="290" t="s">
        <v>22</v>
      </c>
      <c r="B226" s="2"/>
      <c r="C226" s="213">
        <f>$D$212-$I$61*$I$64</f>
        <v>-459.021443</v>
      </c>
      <c r="D226" s="2"/>
      <c r="E226" s="2"/>
      <c r="F226" s="196"/>
    </row>
    <row r="227" spans="1:6" ht="12.75">
      <c r="A227" s="285" t="s">
        <v>140</v>
      </c>
      <c r="B227" s="279"/>
      <c r="C227" s="279"/>
      <c r="D227" s="279"/>
      <c r="E227" s="279"/>
      <c r="F227" s="286"/>
    </row>
    <row r="228" spans="1:6" ht="12.75">
      <c r="A228" s="287" t="s">
        <v>23</v>
      </c>
      <c r="B228" s="198"/>
      <c r="C228" s="291">
        <f>$D$212/($I$61*$I$64)</f>
        <v>0.4189601987341772</v>
      </c>
      <c r="D228" s="198"/>
      <c r="E228" s="198"/>
      <c r="F228" s="199"/>
    </row>
    <row r="229" spans="1:6" ht="13.5" thickBot="1">
      <c r="A229" s="292"/>
      <c r="B229" s="153"/>
      <c r="C229" s="153"/>
      <c r="D229" s="153"/>
      <c r="E229" s="153"/>
      <c r="F229" s="258"/>
    </row>
    <row r="230" ht="13.5" thickBot="1"/>
    <row r="231" spans="1:6" ht="12.75">
      <c r="A231" s="283" t="s">
        <v>141</v>
      </c>
      <c r="B231" s="284"/>
      <c r="C231" s="162"/>
      <c r="D231" s="162"/>
      <c r="E231" s="162"/>
      <c r="F231" s="163"/>
    </row>
    <row r="232" spans="1:6" ht="12.75">
      <c r="A232" s="289" t="s">
        <v>142</v>
      </c>
      <c r="B232" s="2"/>
      <c r="C232" s="2"/>
      <c r="D232" s="2"/>
      <c r="E232" s="2"/>
      <c r="F232" s="196"/>
    </row>
    <row r="233" spans="1:8" ht="12.75">
      <c r="A233" s="290" t="s">
        <v>52</v>
      </c>
      <c r="B233" s="2"/>
      <c r="C233" s="213">
        <f>2*$D$212-$I$61*$I$64</f>
        <v>-128.04288599999995</v>
      </c>
      <c r="D233" s="2"/>
      <c r="E233" s="2"/>
      <c r="F233" s="196"/>
      <c r="H233" s="212" t="s">
        <v>143</v>
      </c>
    </row>
    <row r="234" spans="1:6" ht="12.75">
      <c r="A234" s="285" t="s">
        <v>144</v>
      </c>
      <c r="B234" s="279"/>
      <c r="C234" s="279"/>
      <c r="D234" s="279"/>
      <c r="E234" s="279"/>
      <c r="F234" s="286"/>
    </row>
    <row r="235" spans="1:6" ht="12.75">
      <c r="A235" s="287" t="s">
        <v>23</v>
      </c>
      <c r="B235" s="198"/>
      <c r="C235" s="291">
        <f>2*$D$212/($I$61*$I$64)</f>
        <v>0.8379203974683544</v>
      </c>
      <c r="D235" s="198"/>
      <c r="E235" s="198"/>
      <c r="F235" s="199"/>
    </row>
    <row r="236" spans="1:6" ht="13.5" thickBot="1">
      <c r="A236" s="292"/>
      <c r="B236" s="153"/>
      <c r="C236" s="153"/>
      <c r="D236" s="153"/>
      <c r="E236" s="153"/>
      <c r="F236" s="258"/>
    </row>
    <row r="237" ht="13.5" thickBot="1"/>
    <row r="238" spans="1:6" ht="12.75">
      <c r="A238" s="283" t="s">
        <v>145</v>
      </c>
      <c r="B238" s="284"/>
      <c r="C238" s="162"/>
      <c r="D238" s="162"/>
      <c r="E238" s="162"/>
      <c r="F238" s="163"/>
    </row>
    <row r="239" spans="1:6" ht="12.75">
      <c r="A239" s="289" t="s">
        <v>146</v>
      </c>
      <c r="B239" s="2"/>
      <c r="C239" s="2"/>
      <c r="D239" s="2"/>
      <c r="E239" s="2"/>
      <c r="F239" s="196"/>
    </row>
    <row r="240" spans="1:8" ht="12.75">
      <c r="A240" s="290" t="s">
        <v>57</v>
      </c>
      <c r="B240" s="2"/>
      <c r="C240" s="213">
        <f>3*$D$212-$I$61*$I$64</f>
        <v>202.93567100000007</v>
      </c>
      <c r="D240" s="2"/>
      <c r="E240" s="2"/>
      <c r="F240" s="196"/>
      <c r="H240" s="212" t="s">
        <v>147</v>
      </c>
    </row>
    <row r="241" spans="1:6" ht="12.75">
      <c r="A241" s="285" t="s">
        <v>148</v>
      </c>
      <c r="B241" s="279"/>
      <c r="C241" s="279"/>
      <c r="D241" s="279"/>
      <c r="E241" s="279"/>
      <c r="F241" s="286"/>
    </row>
    <row r="242" spans="1:6" ht="12.75">
      <c r="A242" s="287" t="s">
        <v>23</v>
      </c>
      <c r="B242" s="198"/>
      <c r="C242" s="291">
        <f>3*$D$212/($I$61*$I$64)</f>
        <v>1.2568805962025318</v>
      </c>
      <c r="D242" s="198"/>
      <c r="E242" s="198"/>
      <c r="F242" s="199"/>
    </row>
    <row r="243" spans="1:6" ht="13.5" thickBot="1">
      <c r="A243" s="292"/>
      <c r="B243" s="153"/>
      <c r="C243" s="153"/>
      <c r="D243" s="153"/>
      <c r="E243" s="153"/>
      <c r="F243" s="258"/>
    </row>
    <row r="244" ht="13.5" customHeight="1"/>
    <row r="245" ht="21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Rochester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</dc:creator>
  <cp:keywords/>
  <dc:description/>
  <cp:lastModifiedBy>Grant Meadows</cp:lastModifiedBy>
  <cp:lastPrinted>2007-05-09T19:12:32Z</cp:lastPrinted>
  <dcterms:created xsi:type="dcterms:W3CDTF">2000-10-06T17:10:00Z</dcterms:created>
  <dcterms:modified xsi:type="dcterms:W3CDTF">2009-03-25T18:38:22Z</dcterms:modified>
  <cp:category/>
  <cp:version/>
  <cp:contentType/>
  <cp:contentStatus/>
</cp:coreProperties>
</file>